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MIZU GmbH\Marine\Futuro\Preislisten\"/>
    </mc:Choice>
  </mc:AlternateContent>
  <xr:revisionPtr revIDLastSave="0" documentId="13_ncr:1_{E6166EF4-581B-41B2-B67D-435D0546B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8" i="1" l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87" i="1"/>
  <c r="D78" i="1"/>
  <c r="E70" i="1"/>
  <c r="E57" i="1"/>
  <c r="C74" i="1"/>
  <c r="A116" i="1"/>
  <c r="A102" i="1"/>
  <c r="A101" i="1"/>
  <c r="A100" i="1"/>
  <c r="A99" i="1"/>
  <c r="A98" i="1"/>
  <c r="F98" i="1"/>
  <c r="F99" i="1"/>
  <c r="F100" i="1"/>
  <c r="F101" i="1"/>
  <c r="F102" i="1"/>
  <c r="F91" i="1"/>
  <c r="F92" i="1"/>
  <c r="A92" i="1"/>
  <c r="A91" i="1"/>
  <c r="A88" i="1"/>
  <c r="E67" i="1"/>
  <c r="E56" i="1" l="1"/>
  <c r="C47" i="1" l="1"/>
  <c r="A78" i="1"/>
  <c r="C46" i="1" l="1"/>
  <c r="A96" i="1"/>
  <c r="D122" i="1"/>
  <c r="D123" i="1"/>
  <c r="D124" i="1"/>
  <c r="D125" i="1"/>
  <c r="D126" i="1"/>
  <c r="D127" i="1"/>
  <c r="D128" i="1"/>
  <c r="D121" i="1"/>
  <c r="D112" i="1"/>
  <c r="D113" i="1"/>
  <c r="D114" i="1"/>
  <c r="D115" i="1"/>
  <c r="D116" i="1"/>
  <c r="D117" i="1"/>
  <c r="D118" i="1"/>
  <c r="D119" i="1"/>
  <c r="D111" i="1"/>
  <c r="A31" i="1"/>
  <c r="A128" i="1"/>
  <c r="A123" i="1"/>
  <c r="A94" i="1"/>
  <c r="A89" i="1"/>
  <c r="C72" i="1"/>
  <c r="C71" i="1"/>
  <c r="C69" i="1"/>
  <c r="C68" i="1"/>
  <c r="C67" i="1"/>
  <c r="A72" i="1"/>
  <c r="A70" i="1"/>
  <c r="A68" i="1"/>
  <c r="A67" i="1"/>
  <c r="A66" i="1"/>
  <c r="E68" i="1"/>
  <c r="E63" i="1"/>
  <c r="E61" i="1"/>
  <c r="E60" i="1"/>
  <c r="C59" i="1"/>
  <c r="C57" i="1"/>
  <c r="A61" i="1"/>
  <c r="A59" i="1"/>
  <c r="A58" i="1"/>
  <c r="A51" i="1"/>
  <c r="A114" i="1"/>
  <c r="A132" i="1" l="1"/>
  <c r="A130" i="1"/>
  <c r="A127" i="1"/>
  <c r="A126" i="1"/>
  <c r="A125" i="1"/>
  <c r="A124" i="1"/>
  <c r="A122" i="1"/>
  <c r="A121" i="1"/>
  <c r="A120" i="1"/>
  <c r="A119" i="1"/>
  <c r="A118" i="1"/>
  <c r="A117" i="1"/>
  <c r="A115" i="1"/>
  <c r="A113" i="1"/>
  <c r="A112" i="1"/>
  <c r="A111" i="1"/>
  <c r="A110" i="1"/>
  <c r="A109" i="1"/>
  <c r="A108" i="1"/>
  <c r="A107" i="1"/>
  <c r="A105" i="1"/>
  <c r="A106" i="1"/>
  <c r="A104" i="1"/>
  <c r="A103" i="1"/>
  <c r="A97" i="1"/>
  <c r="A95" i="1"/>
  <c r="A93" i="1"/>
  <c r="A90" i="1"/>
  <c r="A87" i="1"/>
  <c r="A86" i="1"/>
  <c r="F86" i="1"/>
  <c r="F77" i="1"/>
  <c r="E86" i="1"/>
  <c r="E77" i="1"/>
  <c r="D86" i="1"/>
  <c r="D77" i="1"/>
  <c r="C70" i="1"/>
  <c r="C66" i="1"/>
  <c r="C65" i="1"/>
  <c r="A71" i="1"/>
  <c r="A69" i="1"/>
  <c r="A65" i="1"/>
  <c r="E69" i="1"/>
  <c r="E66" i="1"/>
  <c r="E65" i="1"/>
  <c r="E64" i="1"/>
  <c r="A56" i="1"/>
  <c r="E62" i="1"/>
  <c r="E59" i="1"/>
  <c r="E58" i="1"/>
  <c r="E55" i="1"/>
  <c r="E54" i="1"/>
  <c r="C55" i="1"/>
  <c r="C58" i="1"/>
  <c r="C56" i="1"/>
  <c r="A55" i="1" l="1"/>
  <c r="C54" i="1"/>
  <c r="A60" i="1"/>
  <c r="A57" i="1"/>
  <c r="A54" i="1"/>
  <c r="A53" i="1"/>
  <c r="A42" i="1"/>
  <c r="A50" i="1"/>
  <c r="A49" i="1"/>
  <c r="A48" i="1"/>
  <c r="A47" i="1"/>
  <c r="A46" i="1"/>
  <c r="A45" i="1"/>
  <c r="A44" i="1"/>
  <c r="F111" i="1" l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78" i="1" l="1"/>
  <c r="F110" i="1" l="1"/>
  <c r="F88" i="1"/>
  <c r="F89" i="1"/>
  <c r="F90" i="1"/>
  <c r="F93" i="1"/>
  <c r="F94" i="1"/>
  <c r="F95" i="1"/>
  <c r="F96" i="1"/>
  <c r="F97" i="1"/>
  <c r="F103" i="1"/>
  <c r="F104" i="1"/>
  <c r="F105" i="1"/>
  <c r="F106" i="1"/>
  <c r="F107" i="1"/>
  <c r="F108" i="1"/>
  <c r="F109" i="1"/>
  <c r="F87" i="1"/>
  <c r="F132" i="1" l="1"/>
</calcChain>
</file>

<file path=xl/sharedStrings.xml><?xml version="1.0" encoding="utf-8"?>
<sst xmlns="http://schemas.openxmlformats.org/spreadsheetml/2006/main" count="148" uniqueCount="22">
  <si>
    <t xml:space="preserve">MIZU GmbH - Weidgang 8-14 - 78247 Hilzingen - www.mizu-marine.de </t>
  </si>
  <si>
    <t>Unverbindliche Preisempfehlung, Lieferung ab Werk. Irrtümer und Änderrungen vorbehalten. Gültig bis 31.01.2026</t>
  </si>
  <si>
    <t>auf Anfrage</t>
  </si>
  <si>
    <t>Bitte wählen Sie Ihre Sprache: / Please choose your language. / Scegli la tua lingua.</t>
  </si>
  <si>
    <t>Radio, Lautsprecher, Fernbedienung</t>
  </si>
  <si>
    <t>Polster</t>
  </si>
  <si>
    <t>Preise inkl.19% MWST</t>
  </si>
  <si>
    <t>Preise zzgl MWST</t>
  </si>
  <si>
    <t>upon request</t>
  </si>
  <si>
    <t>su richiesta</t>
  </si>
  <si>
    <t>Recommended retail price, delivery ex works. Subject to errors and changes. Valid until January 31, 2026.</t>
  </si>
  <si>
    <t>Prezzo consigliato non vincolante, consegna franco fabbrica. Con riserva di errori e modifiche. Valido fino al 31/01/2026.</t>
  </si>
  <si>
    <t>Es gelten unsere AGB. / Our terms and conditions apply./ Si applicano le nostre Condizioni generali di contratto.</t>
  </si>
  <si>
    <t xml:space="preserve">   FUTURO BOATS ZX40</t>
  </si>
  <si>
    <t xml:space="preserve">  FUTURO BOATS ZX40</t>
  </si>
  <si>
    <t>800 l</t>
  </si>
  <si>
    <t>12 m</t>
  </si>
  <si>
    <t>3,65 m</t>
  </si>
  <si>
    <t>200 l</t>
  </si>
  <si>
    <t xml:space="preserve">B/C  </t>
  </si>
  <si>
    <t>USB Ladegerät</t>
  </si>
  <si>
    <t>Deutsch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</si>
</sst>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#,##0\ [$€-1]"/>
    <numFmt numFmtId="165" formatCode="#,##0\ [$€-407]"/>
    <numFmt numFmtId="166" formatCode="#,##0\ &quot;zł&quot;"/>
    <numFmt numFmtId="167" formatCode="#,##0.000\ [$€-1]"/>
    <numFmt numFmtId="168" formatCode="#,##0.00\ &quot;€&quot;"/>
    <numFmt numFmtId="169" formatCode="#,##0\ &quot;€&quot;"/>
  </numFmts>
  <fonts count="36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</font>
    <font>
      <sz val="8"/>
      <name val="Tahoma"/>
      <family val="2"/>
    </font>
    <font>
      <b/>
      <sz val="11"/>
      <color theme="0"/>
      <name val="Tahoma"/>
      <family val="2"/>
    </font>
    <font>
      <b/>
      <sz val="12"/>
      <color theme="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b/>
      <sz val="8"/>
      <color theme="0"/>
      <name val="Tahoma"/>
      <family val="2"/>
    </font>
    <font>
      <b/>
      <sz val="20"/>
      <name val="Tahoma"/>
      <family val="2"/>
    </font>
    <font>
      <sz val="10"/>
      <name val="Tahoma"/>
      <family val="2"/>
    </font>
    <font>
      <b/>
      <sz val="22"/>
      <color theme="0"/>
      <name val="Tahoma"/>
      <family val="2"/>
    </font>
    <font>
      <sz val="10"/>
      <color theme="0"/>
      <name val="Tahoma"/>
      <family val="2"/>
    </font>
    <font>
      <b/>
      <sz val="12"/>
      <name val="Tahoma"/>
      <family val="2"/>
    </font>
    <font>
      <sz val="11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theme="0"/>
      <name val="Tahoma"/>
      <family val="2"/>
    </font>
    <font>
      <sz val="8"/>
      <color theme="1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theme="0"/>
      <name val="Tahoma"/>
      <family val="2"/>
    </font>
    <font>
      <b/>
      <sz val="8"/>
      <color theme="1"/>
      <name val="Tahoma"/>
      <family val="2"/>
    </font>
    <font>
      <sz val="7"/>
      <color theme="1"/>
      <name val="Tahoma"/>
      <family val="2"/>
    </font>
    <font>
      <b/>
      <sz val="11"/>
      <name val="Tahoma"/>
      <family val="2"/>
    </font>
    <font>
      <sz val="16"/>
      <name val="Tahoma"/>
      <family val="2"/>
    </font>
    <font>
      <b/>
      <sz val="26"/>
      <name val="Tahoma"/>
      <family val="2"/>
    </font>
    <font>
      <sz val="8"/>
      <color rgb="FFFF0000"/>
      <name val="Tahoma"/>
      <family val="2"/>
    </font>
    <font>
      <sz val="10"/>
      <color rgb="FFFF0000"/>
      <name val="Tahoma"/>
      <family val="2"/>
    </font>
    <font>
      <sz val="11"/>
      <color rgb="FFFF0000"/>
      <name val="Tahoma"/>
      <family val="2"/>
    </font>
    <font>
      <b/>
      <sz val="8"/>
      <color rgb="FFFF0000"/>
      <name val="Tahoma"/>
      <family val="2"/>
    </font>
    <font>
      <sz val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9" tint="-0.24994659260841701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left"/>
    </xf>
    <xf numFmtId="0" fontId="11" fillId="8" borderId="0" xfId="0" applyFont="1" applyFill="1" applyAlignment="1"/>
    <xf numFmtId="0" fontId="12" fillId="8" borderId="0" xfId="0" applyFont="1" applyFill="1" applyAlignment="1">
      <alignment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8" borderId="0" xfId="0" applyFont="1" applyFill="1" applyAlignment="1"/>
    <xf numFmtId="0" fontId="14" fillId="8" borderId="0" xfId="0" applyFont="1" applyFill="1" applyAlignment="1">
      <alignment wrapText="1"/>
    </xf>
    <xf numFmtId="0" fontId="8" fillId="8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16" fillId="0" borderId="0" xfId="0" applyFont="1"/>
    <xf numFmtId="0" fontId="5" fillId="0" borderId="0" xfId="0" applyFont="1" applyFill="1"/>
    <xf numFmtId="0" fontId="12" fillId="0" borderId="0" xfId="0" applyFont="1" applyFill="1" applyAlignment="1" applyProtection="1">
      <alignment wrapText="1"/>
      <protection locked="0"/>
    </xf>
    <xf numFmtId="0" fontId="12" fillId="0" borderId="0" xfId="0" applyFont="1" applyFill="1" applyAlignment="1">
      <alignment wrapText="1"/>
    </xf>
    <xf numFmtId="165" fontId="12" fillId="0" borderId="0" xfId="0" applyNumberFormat="1" applyFont="1" applyFill="1" applyAlignment="1">
      <alignment wrapText="1"/>
    </xf>
    <xf numFmtId="0" fontId="16" fillId="0" borderId="0" xfId="0" applyFont="1" applyFill="1"/>
    <xf numFmtId="0" fontId="14" fillId="2" borderId="0" xfId="0" applyFont="1" applyFill="1" applyAlignment="1">
      <alignment wrapText="1"/>
    </xf>
    <xf numFmtId="0" fontId="12" fillId="0" borderId="0" xfId="0" applyFont="1" applyAlignment="1" applyProtection="1">
      <alignment wrapText="1"/>
      <protection locked="0"/>
    </xf>
    <xf numFmtId="0" fontId="10" fillId="6" borderId="0" xfId="0" applyFont="1" applyFill="1" applyBorder="1" applyAlignment="1">
      <alignment horizontal="right" vertical="center" wrapText="1"/>
    </xf>
    <xf numFmtId="164" fontId="15" fillId="10" borderId="1" xfId="0" applyNumberFormat="1" applyFont="1" applyFill="1" applyBorder="1" applyAlignment="1">
      <alignment horizontal="right" wrapText="1"/>
    </xf>
    <xf numFmtId="165" fontId="12" fillId="0" borderId="0" xfId="0" applyNumberFormat="1" applyFont="1" applyAlignment="1">
      <alignment wrapText="1"/>
    </xf>
    <xf numFmtId="0" fontId="22" fillId="4" borderId="0" xfId="0" applyFont="1" applyFill="1" applyBorder="1"/>
    <xf numFmtId="167" fontId="23" fillId="4" borderId="0" xfId="0" applyNumberFormat="1" applyFont="1" applyFill="1" applyBorder="1" applyAlignment="1">
      <alignment horizontal="center" vertical="center" wrapText="1"/>
    </xf>
    <xf numFmtId="165" fontId="4" fillId="5" borderId="0" xfId="0" applyNumberFormat="1" applyFont="1" applyFill="1" applyBorder="1" applyAlignment="1">
      <alignment wrapText="1"/>
    </xf>
    <xf numFmtId="0" fontId="12" fillId="4" borderId="0" xfId="0" applyFont="1" applyFill="1" applyBorder="1"/>
    <xf numFmtId="164" fontId="4" fillId="5" borderId="0" xfId="0" applyNumberFormat="1" applyFont="1" applyFill="1" applyBorder="1" applyAlignment="1">
      <alignment horizontal="right" wrapText="1"/>
    </xf>
    <xf numFmtId="0" fontId="17" fillId="7" borderId="0" xfId="0" applyFont="1" applyFill="1" applyAlignment="1">
      <alignment horizontal="center"/>
    </xf>
    <xf numFmtId="167" fontId="22" fillId="4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3" fillId="0" borderId="0" xfId="0" applyFont="1"/>
    <xf numFmtId="165" fontId="12" fillId="0" borderId="0" xfId="0" applyNumberFormat="1" applyFont="1" applyFill="1" applyAlignment="1" applyProtection="1">
      <alignment horizontal="center" wrapText="1"/>
    </xf>
    <xf numFmtId="165" fontId="23" fillId="0" borderId="0" xfId="0" applyNumberFormat="1" applyFont="1" applyFill="1" applyAlignment="1">
      <alignment wrapText="1"/>
    </xf>
    <xf numFmtId="165" fontId="23" fillId="0" borderId="0" xfId="0" applyNumberFormat="1" applyFont="1" applyAlignment="1">
      <alignment wrapText="1"/>
    </xf>
    <xf numFmtId="165" fontId="12" fillId="0" borderId="0" xfId="0" applyNumberFormat="1" applyFont="1" applyAlignment="1"/>
    <xf numFmtId="0" fontId="26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 wrapText="1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Alignment="1">
      <alignment horizontal="center" wrapText="1"/>
    </xf>
    <xf numFmtId="165" fontId="22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164" fontId="9" fillId="6" borderId="0" xfId="0" applyNumberFormat="1" applyFont="1" applyFill="1" applyBorder="1" applyAlignment="1">
      <alignment horizontal="right" vertical="center" wrapText="1"/>
    </xf>
    <xf numFmtId="0" fontId="6" fillId="9" borderId="0" xfId="0" quotePrefix="1" applyFont="1" applyFill="1" applyBorder="1" applyAlignment="1">
      <alignment horizontal="right"/>
    </xf>
    <xf numFmtId="0" fontId="6" fillId="9" borderId="0" xfId="0" quotePrefix="1" applyFont="1" applyFill="1" applyBorder="1"/>
    <xf numFmtId="0" fontId="28" fillId="0" borderId="0" xfId="0" applyFont="1" applyBorder="1" applyAlignment="1">
      <alignment wrapText="1"/>
    </xf>
    <xf numFmtId="0" fontId="29" fillId="0" borderId="0" xfId="0" applyFont="1" applyAlignment="1">
      <alignment wrapText="1"/>
    </xf>
    <xf numFmtId="0" fontId="12" fillId="0" borderId="0" xfId="0" applyFont="1" applyFill="1" applyBorder="1" applyAlignment="1">
      <alignment wrapText="1"/>
    </xf>
    <xf numFmtId="44" fontId="12" fillId="0" borderId="0" xfId="0" applyNumberFormat="1" applyFont="1" applyAlignment="1">
      <alignment wrapText="1"/>
    </xf>
    <xf numFmtId="169" fontId="12" fillId="0" borderId="0" xfId="0" applyNumberFormat="1" applyFont="1" applyAlignment="1">
      <alignment wrapText="1"/>
    </xf>
    <xf numFmtId="169" fontId="12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12" fillId="0" borderId="2" xfId="0" applyFont="1" applyBorder="1" applyAlignment="1">
      <alignment wrapText="1"/>
    </xf>
    <xf numFmtId="0" fontId="23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28" fillId="0" borderId="0" xfId="0" applyFont="1" applyBorder="1" applyAlignment="1">
      <alignment horizontal="left" wrapText="1"/>
    </xf>
    <xf numFmtId="0" fontId="27" fillId="0" borderId="0" xfId="0" applyFont="1" applyFill="1" applyAlignment="1">
      <alignment horizontal="left"/>
    </xf>
    <xf numFmtId="0" fontId="23" fillId="0" borderId="0" xfId="0" applyFont="1" applyProtection="1">
      <protection hidden="1"/>
    </xf>
    <xf numFmtId="0" fontId="12" fillId="0" borderId="0" xfId="0" applyFont="1" applyAlignment="1" applyProtection="1">
      <alignment wrapText="1"/>
      <protection hidden="1"/>
    </xf>
    <xf numFmtId="0" fontId="18" fillId="0" borderId="0" xfId="0" applyFont="1" applyProtection="1">
      <protection hidden="1"/>
    </xf>
    <xf numFmtId="0" fontId="12" fillId="8" borderId="3" xfId="0" applyFont="1" applyFill="1" applyBorder="1" applyAlignment="1" applyProtection="1">
      <alignment wrapText="1"/>
      <protection locked="0" hidden="1"/>
    </xf>
    <xf numFmtId="0" fontId="9" fillId="3" borderId="0" xfId="0" applyFont="1" applyFill="1" applyAlignment="1" applyProtection="1">
      <alignment horizontal="left" wrapText="1"/>
      <protection hidden="1"/>
    </xf>
    <xf numFmtId="0" fontId="9" fillId="3" borderId="0" xfId="0" applyFont="1" applyFill="1" applyAlignment="1" applyProtection="1">
      <alignment horizontal="center" wrapText="1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wrapText="1"/>
      <protection hidden="1"/>
    </xf>
    <xf numFmtId="0" fontId="6" fillId="9" borderId="0" xfId="0" applyFont="1" applyFill="1" applyBorder="1" applyAlignment="1" applyProtection="1">
      <protection hidden="1"/>
    </xf>
    <xf numFmtId="0" fontId="6" fillId="9" borderId="0" xfId="0" applyFont="1" applyFill="1" applyBorder="1" applyAlignment="1" applyProtection="1">
      <alignment wrapText="1"/>
      <protection hidden="1"/>
    </xf>
    <xf numFmtId="0" fontId="6" fillId="9" borderId="0" xfId="0" applyFont="1" applyFill="1" applyBorder="1" applyAlignment="1" applyProtection="1">
      <alignment horizontal="center" wrapText="1"/>
      <protection hidden="1"/>
    </xf>
    <xf numFmtId="0" fontId="4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Fill="1" applyProtection="1">
      <protection hidden="1"/>
    </xf>
    <xf numFmtId="0" fontId="12" fillId="0" borderId="0" xfId="0" applyFont="1" applyFill="1" applyAlignment="1" applyProtection="1">
      <alignment horizontal="left"/>
      <protection hidden="1"/>
    </xf>
    <xf numFmtId="0" fontId="17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vertical="top" wrapText="1"/>
      <protection hidden="1"/>
    </xf>
    <xf numFmtId="0" fontId="23" fillId="0" borderId="0" xfId="0" applyFont="1" applyFill="1" applyProtection="1"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vertical="top" wrapText="1"/>
      <protection hidden="1"/>
    </xf>
    <xf numFmtId="0" fontId="5" fillId="0" borderId="0" xfId="0" applyFont="1" applyFill="1" applyProtection="1">
      <protection hidden="1"/>
    </xf>
    <xf numFmtId="0" fontId="12" fillId="0" borderId="0" xfId="0" applyFont="1" applyFill="1" applyAlignment="1" applyProtection="1">
      <alignment wrapText="1"/>
      <protection hidden="1"/>
    </xf>
    <xf numFmtId="0" fontId="5" fillId="0" borderId="0" xfId="0" quotePrefix="1" applyFont="1" applyFill="1" applyProtection="1">
      <protection hidden="1"/>
    </xf>
    <xf numFmtId="0" fontId="31" fillId="0" borderId="0" xfId="0" quotePrefix="1" applyFont="1" applyFill="1" applyProtection="1">
      <protection hidden="1"/>
    </xf>
    <xf numFmtId="0" fontId="5" fillId="0" borderId="0" xfId="0" quotePrefix="1" applyFont="1" applyFill="1" applyAlignment="1" applyProtection="1">
      <protection hidden="1"/>
    </xf>
    <xf numFmtId="0" fontId="32" fillId="0" borderId="0" xfId="0" applyFont="1" applyFill="1" applyAlignment="1" applyProtection="1">
      <alignment wrapText="1"/>
      <protection hidden="1"/>
    </xf>
    <xf numFmtId="0" fontId="5" fillId="0" borderId="0" xfId="0" quotePrefix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16" fillId="0" borderId="0" xfId="0" applyFont="1" applyFill="1" applyProtection="1">
      <protection hidden="1"/>
    </xf>
    <xf numFmtId="165" fontId="5" fillId="0" borderId="0" xfId="0" applyNumberFormat="1" applyFont="1" applyFill="1" applyAlignment="1" applyProtection="1">
      <alignment wrapText="1"/>
      <protection hidden="1"/>
    </xf>
    <xf numFmtId="0" fontId="33" fillId="0" borderId="0" xfId="0" applyFont="1" applyFill="1" applyProtection="1">
      <protection hidden="1"/>
    </xf>
    <xf numFmtId="0" fontId="5" fillId="0" borderId="0" xfId="0" quotePrefix="1" applyFont="1" applyFill="1" applyBorder="1" applyProtection="1">
      <protection hidden="1"/>
    </xf>
    <xf numFmtId="0" fontId="4" fillId="0" borderId="0" xfId="0" quotePrefix="1" applyFont="1" applyFill="1" applyBorder="1" applyAlignment="1" applyProtection="1">
      <alignment horizontal="right"/>
      <protection hidden="1"/>
    </xf>
    <xf numFmtId="0" fontId="4" fillId="0" borderId="0" xfId="0" quotePrefix="1" applyFont="1" applyBorder="1" applyAlignment="1" applyProtection="1">
      <alignment horizontal="right"/>
      <protection hidden="1"/>
    </xf>
    <xf numFmtId="0" fontId="6" fillId="0" borderId="0" xfId="0" applyFont="1" applyFill="1" applyBorder="1" applyProtection="1">
      <protection hidden="1"/>
    </xf>
    <xf numFmtId="0" fontId="19" fillId="0" borderId="0" xfId="0" applyFont="1" applyFill="1" applyBorder="1" applyProtection="1">
      <protection hidden="1"/>
    </xf>
    <xf numFmtId="0" fontId="19" fillId="0" borderId="0" xfId="0" applyNumberFormat="1" applyFon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wrapText="1"/>
      <protection hidden="1"/>
    </xf>
    <xf numFmtId="0" fontId="34" fillId="0" borderId="0" xfId="0" quotePrefix="1" applyFont="1" applyFill="1" applyBorder="1" applyAlignment="1" applyProtection="1">
      <alignment horizontal="right"/>
      <protection hidden="1"/>
    </xf>
    <xf numFmtId="168" fontId="6" fillId="0" borderId="0" xfId="0" applyNumberFormat="1" applyFont="1" applyFill="1" applyBorder="1" applyAlignment="1" applyProtection="1">
      <alignment wrapText="1"/>
      <protection hidden="1"/>
    </xf>
    <xf numFmtId="0" fontId="12" fillId="0" borderId="0" xfId="0" applyFont="1" applyFill="1" applyBorder="1" applyAlignment="1" applyProtection="1">
      <alignment wrapText="1"/>
      <protection hidden="1"/>
    </xf>
    <xf numFmtId="169" fontId="12" fillId="0" borderId="0" xfId="0" applyNumberFormat="1" applyFont="1" applyAlignment="1" applyProtection="1">
      <alignment horizontal="right" wrapText="1"/>
      <protection hidden="1"/>
    </xf>
    <xf numFmtId="0" fontId="12" fillId="0" borderId="0" xfId="0" applyFont="1" applyFill="1" applyAlignment="1" applyProtection="1">
      <protection hidden="1"/>
    </xf>
    <xf numFmtId="165" fontId="12" fillId="0" borderId="0" xfId="0" applyNumberFormat="1" applyFont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5" fillId="0" borderId="0" xfId="0" quotePrefix="1" applyFont="1" applyProtection="1">
      <protection hidden="1"/>
    </xf>
    <xf numFmtId="0" fontId="6" fillId="9" borderId="0" xfId="0" applyFont="1" applyFill="1" applyBorder="1" applyProtection="1">
      <protection hidden="1"/>
    </xf>
    <xf numFmtId="0" fontId="25" fillId="9" borderId="0" xfId="0" quotePrefix="1" applyFont="1" applyFill="1" applyBorder="1" applyProtection="1">
      <protection hidden="1"/>
    </xf>
    <xf numFmtId="0" fontId="6" fillId="9" borderId="0" xfId="0" quotePrefix="1" applyFont="1" applyFill="1" applyBorder="1" applyAlignment="1" applyProtection="1">
      <alignment horizontal="right"/>
      <protection hidden="1"/>
    </xf>
    <xf numFmtId="0" fontId="35" fillId="0" borderId="0" xfId="0" applyFont="1" applyFill="1" applyAlignment="1" applyProtection="1">
      <alignment vertical="center"/>
      <protection hidden="1"/>
    </xf>
    <xf numFmtId="0" fontId="23" fillId="0" borderId="0" xfId="0" applyFont="1" applyFill="1" applyAlignme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2" fillId="0" borderId="0" xfId="0" quotePrefix="1" applyFont="1" applyProtection="1">
      <protection hidden="1"/>
    </xf>
    <xf numFmtId="165" fontId="22" fillId="0" borderId="0" xfId="0" applyNumberFormat="1" applyFont="1" applyAlignment="1" applyProtection="1">
      <alignment wrapText="1"/>
      <protection hidden="1"/>
    </xf>
    <xf numFmtId="0" fontId="12" fillId="0" borderId="0" xfId="0" applyFont="1" applyAlignment="1" applyProtection="1">
      <protection hidden="1"/>
    </xf>
    <xf numFmtId="0" fontId="9" fillId="2" borderId="0" xfId="0" applyNumberFormat="1" applyFont="1" applyFill="1" applyBorder="1" applyAlignment="1" applyProtection="1">
      <alignment vertical="center"/>
      <protection hidden="1"/>
    </xf>
    <xf numFmtId="0" fontId="21" fillId="2" borderId="0" xfId="0" applyFont="1" applyFill="1" applyBorder="1" applyAlignment="1" applyProtection="1">
      <alignment horizontal="center" vertical="center" wrapText="1"/>
      <protection hidden="1"/>
    </xf>
    <xf numFmtId="166" fontId="19" fillId="2" borderId="0" xfId="0" applyNumberFormat="1" applyFont="1" applyFill="1" applyBorder="1" applyAlignment="1" applyProtection="1">
      <alignment vertical="center" wrapText="1"/>
      <protection hidden="1"/>
    </xf>
    <xf numFmtId="0" fontId="6" fillId="9" borderId="0" xfId="0" quotePrefix="1" applyFont="1" applyFill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left" vertical="center" wrapText="1"/>
      <protection hidden="1"/>
    </xf>
    <xf numFmtId="0" fontId="23" fillId="7" borderId="0" xfId="0" applyFont="1" applyFill="1" applyAlignment="1">
      <alignment horizontal="center" vertical="top"/>
    </xf>
    <xf numFmtId="0" fontId="9" fillId="3" borderId="0" xfId="0" applyFont="1" applyFill="1" applyAlignment="1">
      <alignment horizontal="left" vertical="center" wrapText="1"/>
    </xf>
    <xf numFmtId="0" fontId="30" fillId="8" borderId="0" xfId="0" applyFont="1" applyFill="1" applyAlignment="1" applyProtection="1">
      <alignment horizontal="center" wrapText="1"/>
      <protection hidden="1"/>
    </xf>
    <xf numFmtId="0" fontId="23" fillId="0" borderId="0" xfId="0" applyFont="1" applyAlignment="1" applyProtection="1">
      <alignment horizontal="left" vertical="top" wrapText="1"/>
      <protection hidden="1"/>
    </xf>
    <xf numFmtId="0" fontId="23" fillId="0" borderId="0" xfId="0" applyFont="1" applyAlignment="1">
      <alignment horizontal="center" wrapText="1"/>
    </xf>
    <xf numFmtId="0" fontId="6" fillId="9" borderId="0" xfId="0" applyFont="1" applyFill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87" lockText="1" noThreeD="1"/>
</file>

<file path=xl/ctrlProps/ctrlProp10.xml><?xml version="1.0" encoding="utf-8"?>
<formControlPr xmlns="http://schemas.microsoft.com/office/spreadsheetml/2009/9/main" objectType="CheckBox" fmlaLink="$G$95" lockText="1" noThreeD="1"/>
</file>

<file path=xl/ctrlProps/ctrlProp11.xml><?xml version="1.0" encoding="utf-8"?>
<formControlPr xmlns="http://schemas.microsoft.com/office/spreadsheetml/2009/9/main" objectType="CheckBox" fmlaLink="$G$104" lockText="1" noThreeD="1"/>
</file>

<file path=xl/ctrlProps/ctrlProp12.xml><?xml version="1.0" encoding="utf-8"?>
<formControlPr xmlns="http://schemas.microsoft.com/office/spreadsheetml/2009/9/main" objectType="CheckBox" fmlaLink="$G$97" lockText="1" noThreeD="1"/>
</file>

<file path=xl/ctrlProps/ctrlProp13.xml><?xml version="1.0" encoding="utf-8"?>
<formControlPr xmlns="http://schemas.microsoft.com/office/spreadsheetml/2009/9/main" objectType="CheckBox" fmlaLink="$G$93" lockText="1" noThreeD="1"/>
</file>

<file path=xl/ctrlProps/ctrlProp14.xml><?xml version="1.0" encoding="utf-8"?>
<formControlPr xmlns="http://schemas.microsoft.com/office/spreadsheetml/2009/9/main" objectType="CheckBox" fmlaLink="$G$105" lockText="1" noThreeD="1"/>
</file>

<file path=xl/ctrlProps/ctrlProp15.xml><?xml version="1.0" encoding="utf-8"?>
<formControlPr xmlns="http://schemas.microsoft.com/office/spreadsheetml/2009/9/main" objectType="CheckBox" fmlaLink="$G$107" lockText="1" noThreeD="1"/>
</file>

<file path=xl/ctrlProps/ctrlProp16.xml><?xml version="1.0" encoding="utf-8"?>
<formControlPr xmlns="http://schemas.microsoft.com/office/spreadsheetml/2009/9/main" objectType="CheckBox" fmlaLink="$G$106" lockText="1" noThreeD="1"/>
</file>

<file path=xl/ctrlProps/ctrlProp17.xml><?xml version="1.0" encoding="utf-8"?>
<formControlPr xmlns="http://schemas.microsoft.com/office/spreadsheetml/2009/9/main" objectType="CheckBox" fmlaLink="$G$108" lockText="1" noThreeD="1"/>
</file>

<file path=xl/ctrlProps/ctrlProp18.xml><?xml version="1.0" encoding="utf-8"?>
<formControlPr xmlns="http://schemas.microsoft.com/office/spreadsheetml/2009/9/main" objectType="CheckBox" fmlaLink="$G$109" lockText="1" noThreeD="1"/>
</file>

<file path=xl/ctrlProps/ctrlProp19.xml><?xml version="1.0" encoding="utf-8"?>
<formControlPr xmlns="http://schemas.microsoft.com/office/spreadsheetml/2009/9/main" objectType="CheckBox" fmlaLink="$G$78" lockText="1" noThreeD="1"/>
</file>

<file path=xl/ctrlProps/ctrlProp2.xml><?xml version="1.0" encoding="utf-8"?>
<formControlPr xmlns="http://schemas.microsoft.com/office/spreadsheetml/2009/9/main" objectType="CheckBox" fmlaLink="$G$88" lockText="1" noThreeD="1"/>
</file>

<file path=xl/ctrlProps/ctrlProp20.xml><?xml version="1.0" encoding="utf-8"?>
<formControlPr xmlns="http://schemas.microsoft.com/office/spreadsheetml/2009/9/main" objectType="CheckBox" fmlaLink="$G$110" lockText="1" noThreeD="1"/>
</file>

<file path=xl/ctrlProps/ctrlProp21.xml><?xml version="1.0" encoding="utf-8"?>
<formControlPr xmlns="http://schemas.microsoft.com/office/spreadsheetml/2009/9/main" objectType="CheckBox" fmlaLink="$G$111" lockText="1" noThreeD="1"/>
</file>

<file path=xl/ctrlProps/ctrlProp22.xml><?xml version="1.0" encoding="utf-8"?>
<formControlPr xmlns="http://schemas.microsoft.com/office/spreadsheetml/2009/9/main" objectType="CheckBox" fmlaLink="$G$112" lockText="1" noThreeD="1"/>
</file>

<file path=xl/ctrlProps/ctrlProp23.xml><?xml version="1.0" encoding="utf-8"?>
<formControlPr xmlns="http://schemas.microsoft.com/office/spreadsheetml/2009/9/main" objectType="CheckBox" fmlaLink="$G$113" lockText="1" noThreeD="1"/>
</file>

<file path=xl/ctrlProps/ctrlProp24.xml><?xml version="1.0" encoding="utf-8"?>
<formControlPr xmlns="http://schemas.microsoft.com/office/spreadsheetml/2009/9/main" objectType="CheckBox" fmlaLink="$G$114" lockText="1" noThreeD="1"/>
</file>

<file path=xl/ctrlProps/ctrlProp25.xml><?xml version="1.0" encoding="utf-8"?>
<formControlPr xmlns="http://schemas.microsoft.com/office/spreadsheetml/2009/9/main" objectType="CheckBox" fmlaLink="$G$115" lockText="1" noThreeD="1"/>
</file>

<file path=xl/ctrlProps/ctrlProp26.xml><?xml version="1.0" encoding="utf-8"?>
<formControlPr xmlns="http://schemas.microsoft.com/office/spreadsheetml/2009/9/main" objectType="CheckBox" fmlaLink="$G$116" lockText="1" noThreeD="1"/>
</file>

<file path=xl/ctrlProps/ctrlProp27.xml><?xml version="1.0" encoding="utf-8"?>
<formControlPr xmlns="http://schemas.microsoft.com/office/spreadsheetml/2009/9/main" objectType="CheckBox" fmlaLink="$G$117" lockText="1" noThreeD="1"/>
</file>

<file path=xl/ctrlProps/ctrlProp28.xml><?xml version="1.0" encoding="utf-8"?>
<formControlPr xmlns="http://schemas.microsoft.com/office/spreadsheetml/2009/9/main" objectType="CheckBox" fmlaLink="$G$118" lockText="1" noThreeD="1"/>
</file>

<file path=xl/ctrlProps/ctrlProp29.xml><?xml version="1.0" encoding="utf-8"?>
<formControlPr xmlns="http://schemas.microsoft.com/office/spreadsheetml/2009/9/main" objectType="CheckBox" fmlaLink="$G$119" lockText="1" noThreeD="1"/>
</file>

<file path=xl/ctrlProps/ctrlProp3.xml><?xml version="1.0" encoding="utf-8"?>
<formControlPr xmlns="http://schemas.microsoft.com/office/spreadsheetml/2009/9/main" objectType="CheckBox" fmlaLink="$G$90" lockText="1" noThreeD="1"/>
</file>

<file path=xl/ctrlProps/ctrlProp30.xml><?xml version="1.0" encoding="utf-8"?>
<formControlPr xmlns="http://schemas.microsoft.com/office/spreadsheetml/2009/9/main" objectType="CheckBox" fmlaLink="$G$121" lockText="1" noThreeD="1"/>
</file>

<file path=xl/ctrlProps/ctrlProp31.xml><?xml version="1.0" encoding="utf-8"?>
<formControlPr xmlns="http://schemas.microsoft.com/office/spreadsheetml/2009/9/main" objectType="CheckBox" fmlaLink="$G$122" lockText="1" noThreeD="1"/>
</file>

<file path=xl/ctrlProps/ctrlProp32.xml><?xml version="1.0" encoding="utf-8"?>
<formControlPr xmlns="http://schemas.microsoft.com/office/spreadsheetml/2009/9/main" objectType="CheckBox" fmlaLink="$G$123" lockText="1" noThreeD="1"/>
</file>

<file path=xl/ctrlProps/ctrlProp33.xml><?xml version="1.0" encoding="utf-8"?>
<formControlPr xmlns="http://schemas.microsoft.com/office/spreadsheetml/2009/9/main" objectType="CheckBox" fmlaLink="$G$124" lockText="1" noThreeD="1"/>
</file>

<file path=xl/ctrlProps/ctrlProp34.xml><?xml version="1.0" encoding="utf-8"?>
<formControlPr xmlns="http://schemas.microsoft.com/office/spreadsheetml/2009/9/main" objectType="CheckBox" fmlaLink="$G$125" lockText="1" noThreeD="1"/>
</file>

<file path=xl/ctrlProps/ctrlProp35.xml><?xml version="1.0" encoding="utf-8"?>
<formControlPr xmlns="http://schemas.microsoft.com/office/spreadsheetml/2009/9/main" objectType="CheckBox" fmlaLink="$G$126" lockText="1" noThreeD="1"/>
</file>

<file path=xl/ctrlProps/ctrlProp36.xml><?xml version="1.0" encoding="utf-8"?>
<formControlPr xmlns="http://schemas.microsoft.com/office/spreadsheetml/2009/9/main" objectType="CheckBox" fmlaLink="$G$127" lockText="1" noThreeD="1"/>
</file>

<file path=xl/ctrlProps/ctrlProp37.xml><?xml version="1.0" encoding="utf-8"?>
<formControlPr xmlns="http://schemas.microsoft.com/office/spreadsheetml/2009/9/main" objectType="CheckBox" fmlaLink="$G$128" lockText="1" noThreeD="1"/>
</file>

<file path=xl/ctrlProps/ctrlProp38.xml><?xml version="1.0" encoding="utf-8"?>
<formControlPr xmlns="http://schemas.microsoft.com/office/spreadsheetml/2009/9/main" objectType="CheckBox" fmlaLink="$G$91" lockText="1" noThreeD="1"/>
</file>

<file path=xl/ctrlProps/ctrlProp39.xml><?xml version="1.0" encoding="utf-8"?>
<formControlPr xmlns="http://schemas.microsoft.com/office/spreadsheetml/2009/9/main" objectType="CheckBox" fmlaLink="$G$92" lockText="1" noThreeD="1"/>
</file>

<file path=xl/ctrlProps/ctrlProp4.xml><?xml version="1.0" encoding="utf-8"?>
<formControlPr xmlns="http://schemas.microsoft.com/office/spreadsheetml/2009/9/main" objectType="CheckBox" fmlaLink="$G$94" lockText="1" noThreeD="1"/>
</file>

<file path=xl/ctrlProps/ctrlProp40.xml><?xml version="1.0" encoding="utf-8"?>
<formControlPr xmlns="http://schemas.microsoft.com/office/spreadsheetml/2009/9/main" objectType="CheckBox" fmlaLink="$G$162" lockText="1" noThreeD="1"/>
</file>

<file path=xl/ctrlProps/ctrlProp41.xml><?xml version="1.0" encoding="utf-8"?>
<formControlPr xmlns="http://schemas.microsoft.com/office/spreadsheetml/2009/9/main" objectType="CheckBox" fmlaLink="$G$97" lockText="1" noThreeD="1"/>
</file>

<file path=xl/ctrlProps/ctrlProp42.xml><?xml version="1.0" encoding="utf-8"?>
<formControlPr xmlns="http://schemas.microsoft.com/office/spreadsheetml/2009/9/main" objectType="CheckBox" fmlaLink="$G$97" lockText="1" noThreeD="1"/>
</file>

<file path=xl/ctrlProps/ctrlProp43.xml><?xml version="1.0" encoding="utf-8"?>
<formControlPr xmlns="http://schemas.microsoft.com/office/spreadsheetml/2009/9/main" objectType="CheckBox" fmlaLink="$G$97" lockText="1" noThreeD="1"/>
</file>

<file path=xl/ctrlProps/ctrlProp44.xml><?xml version="1.0" encoding="utf-8"?>
<formControlPr xmlns="http://schemas.microsoft.com/office/spreadsheetml/2009/9/main" objectType="CheckBox" fmlaLink="$G$162" lockText="1" noThreeD="1"/>
</file>

<file path=xl/ctrlProps/ctrlProp45.xml><?xml version="1.0" encoding="utf-8"?>
<formControlPr xmlns="http://schemas.microsoft.com/office/spreadsheetml/2009/9/main" objectType="CheckBox" fmlaLink="$G$98" lockText="1" noThreeD="1"/>
</file>

<file path=xl/ctrlProps/ctrlProp46.xml><?xml version="1.0" encoding="utf-8"?>
<formControlPr xmlns="http://schemas.microsoft.com/office/spreadsheetml/2009/9/main" objectType="CheckBox" fmlaLink="$G$97" lockText="1" noThreeD="1"/>
</file>

<file path=xl/ctrlProps/ctrlProp47.xml><?xml version="1.0" encoding="utf-8"?>
<formControlPr xmlns="http://schemas.microsoft.com/office/spreadsheetml/2009/9/main" objectType="CheckBox" fmlaLink="$G$97" lockText="1" noThreeD="1"/>
</file>

<file path=xl/ctrlProps/ctrlProp48.xml><?xml version="1.0" encoding="utf-8"?>
<formControlPr xmlns="http://schemas.microsoft.com/office/spreadsheetml/2009/9/main" objectType="CheckBox" fmlaLink="$G$162" lockText="1" noThreeD="1"/>
</file>

<file path=xl/ctrlProps/ctrlProp49.xml><?xml version="1.0" encoding="utf-8"?>
<formControlPr xmlns="http://schemas.microsoft.com/office/spreadsheetml/2009/9/main" objectType="CheckBox" fmlaLink="$G$96" lockText="1" noThreeD="1"/>
</file>

<file path=xl/ctrlProps/ctrlProp5.xml><?xml version="1.0" encoding="utf-8"?>
<formControlPr xmlns="http://schemas.microsoft.com/office/spreadsheetml/2009/9/main" objectType="CheckBox" fmlaLink="$G$162" lockText="1" noThreeD="1"/>
</file>

<file path=xl/ctrlProps/ctrlProp50.xml><?xml version="1.0" encoding="utf-8"?>
<formControlPr xmlns="http://schemas.microsoft.com/office/spreadsheetml/2009/9/main" objectType="CheckBox" fmlaLink="$G$162" lockText="1" noThreeD="1"/>
</file>

<file path=xl/ctrlProps/ctrlProp51.xml><?xml version="1.0" encoding="utf-8"?>
<formControlPr xmlns="http://schemas.microsoft.com/office/spreadsheetml/2009/9/main" objectType="CheckBox" fmlaLink="$G$99" lockText="1" noThreeD="1"/>
</file>

<file path=xl/ctrlProps/ctrlProp52.xml><?xml version="1.0" encoding="utf-8"?>
<formControlPr xmlns="http://schemas.microsoft.com/office/spreadsheetml/2009/9/main" objectType="CheckBox" fmlaLink="$G$97" lockText="1" noThreeD="1"/>
</file>

<file path=xl/ctrlProps/ctrlProp53.xml><?xml version="1.0" encoding="utf-8"?>
<formControlPr xmlns="http://schemas.microsoft.com/office/spreadsheetml/2009/9/main" objectType="CheckBox" fmlaLink="$G$97" lockText="1" noThreeD="1"/>
</file>

<file path=xl/ctrlProps/ctrlProp54.xml><?xml version="1.0" encoding="utf-8"?>
<formControlPr xmlns="http://schemas.microsoft.com/office/spreadsheetml/2009/9/main" objectType="CheckBox" fmlaLink="$G$162" lockText="1" noThreeD="1"/>
</file>

<file path=xl/ctrlProps/ctrlProp55.xml><?xml version="1.0" encoding="utf-8"?>
<formControlPr xmlns="http://schemas.microsoft.com/office/spreadsheetml/2009/9/main" objectType="CheckBox" fmlaLink="$G$96" lockText="1" noThreeD="1"/>
</file>

<file path=xl/ctrlProps/ctrlProp56.xml><?xml version="1.0" encoding="utf-8"?>
<formControlPr xmlns="http://schemas.microsoft.com/office/spreadsheetml/2009/9/main" objectType="CheckBox" fmlaLink="$G$162" lockText="1" noThreeD="1"/>
</file>

<file path=xl/ctrlProps/ctrlProp57.xml><?xml version="1.0" encoding="utf-8"?>
<formControlPr xmlns="http://schemas.microsoft.com/office/spreadsheetml/2009/9/main" objectType="CheckBox" fmlaLink="$G$100" lockText="1" noThreeD="1"/>
</file>

<file path=xl/ctrlProps/ctrlProp58.xml><?xml version="1.0" encoding="utf-8"?>
<formControlPr xmlns="http://schemas.microsoft.com/office/spreadsheetml/2009/9/main" objectType="CheckBox" fmlaLink="$G$97" lockText="1" noThreeD="1"/>
</file>

<file path=xl/ctrlProps/ctrlProp59.xml><?xml version="1.0" encoding="utf-8"?>
<formControlPr xmlns="http://schemas.microsoft.com/office/spreadsheetml/2009/9/main" objectType="CheckBox" fmlaLink="$G$97" lockText="1" noThreeD="1"/>
</file>

<file path=xl/ctrlProps/ctrlProp6.xml><?xml version="1.0" encoding="utf-8"?>
<formControlPr xmlns="http://schemas.microsoft.com/office/spreadsheetml/2009/9/main" objectType="CheckBox" fmlaLink="$G$103" lockText="1" noThreeD="1"/>
</file>

<file path=xl/ctrlProps/ctrlProp60.xml><?xml version="1.0" encoding="utf-8"?>
<formControlPr xmlns="http://schemas.microsoft.com/office/spreadsheetml/2009/9/main" objectType="CheckBox" fmlaLink="$G$162" lockText="1" noThreeD="1"/>
</file>

<file path=xl/ctrlProps/ctrlProp61.xml><?xml version="1.0" encoding="utf-8"?>
<formControlPr xmlns="http://schemas.microsoft.com/office/spreadsheetml/2009/9/main" objectType="CheckBox" fmlaLink="$G$96" lockText="1" noThreeD="1"/>
</file>

<file path=xl/ctrlProps/ctrlProp62.xml><?xml version="1.0" encoding="utf-8"?>
<formControlPr xmlns="http://schemas.microsoft.com/office/spreadsheetml/2009/9/main" objectType="CheckBox" fmlaLink="$G$162" lockText="1" noThreeD="1"/>
</file>

<file path=xl/ctrlProps/ctrlProp63.xml><?xml version="1.0" encoding="utf-8"?>
<formControlPr xmlns="http://schemas.microsoft.com/office/spreadsheetml/2009/9/main" objectType="CheckBox" fmlaLink="$G$101" lockText="1" noThreeD="1"/>
</file>

<file path=xl/ctrlProps/ctrlProp64.xml><?xml version="1.0" encoding="utf-8"?>
<formControlPr xmlns="http://schemas.microsoft.com/office/spreadsheetml/2009/9/main" objectType="CheckBox" fmlaLink="$G$97" lockText="1" noThreeD="1"/>
</file>

<file path=xl/ctrlProps/ctrlProp65.xml><?xml version="1.0" encoding="utf-8"?>
<formControlPr xmlns="http://schemas.microsoft.com/office/spreadsheetml/2009/9/main" objectType="CheckBox" fmlaLink="$G$97" lockText="1" noThreeD="1"/>
</file>

<file path=xl/ctrlProps/ctrlProp66.xml><?xml version="1.0" encoding="utf-8"?>
<formControlPr xmlns="http://schemas.microsoft.com/office/spreadsheetml/2009/9/main" objectType="CheckBox" fmlaLink="$G$162" lockText="1" noThreeD="1"/>
</file>

<file path=xl/ctrlProps/ctrlProp67.xml><?xml version="1.0" encoding="utf-8"?>
<formControlPr xmlns="http://schemas.microsoft.com/office/spreadsheetml/2009/9/main" objectType="CheckBox" fmlaLink="$G$102" lockText="1" noThreeD="1"/>
</file>

<file path=xl/ctrlProps/ctrlProp7.xml><?xml version="1.0" encoding="utf-8"?>
<formControlPr xmlns="http://schemas.microsoft.com/office/spreadsheetml/2009/9/main" objectType="CheckBox" fmlaLink="$G$96" lockText="1" noThreeD="1"/>
</file>

<file path=xl/ctrlProps/ctrlProp8.xml><?xml version="1.0" encoding="utf-8"?>
<formControlPr xmlns="http://schemas.microsoft.com/office/spreadsheetml/2009/9/main" objectType="CheckBox" fmlaLink="$G$97" lockText="1" noThreeD="1"/>
</file>

<file path=xl/ctrlProps/ctrlProp9.xml><?xml version="1.0" encoding="utf-8"?>
<formControlPr xmlns="http://schemas.microsoft.com/office/spreadsheetml/2009/9/main" objectType="CheckBox" fmlaLink="$G$89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tif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95250</xdr:rowOff>
    </xdr:from>
    <xdr:to>
      <xdr:col>12</xdr:col>
      <xdr:colOff>277284</xdr:colOff>
      <xdr:row>5</xdr:row>
      <xdr:rowOff>119810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3429000" y="95250"/>
          <a:ext cx="4563534" cy="101516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30</xdr:row>
      <xdr:rowOff>0</xdr:rowOff>
    </xdr:from>
    <xdr:to>
      <xdr:col>5</xdr:col>
      <xdr:colOff>672043</xdr:colOff>
      <xdr:row>31</xdr:row>
      <xdr:rowOff>160271</xdr:rowOff>
    </xdr:to>
    <xdr:pic>
      <xdr:nvPicPr>
        <xdr:cNvPr id="7" name="Grafik 6" descr="mizu.t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</a:blip>
        <a:stretch>
          <a:fillRect/>
        </a:stretch>
      </xdr:blipFill>
      <xdr:spPr>
        <a:xfrm>
          <a:off x="5648325" y="5686425"/>
          <a:ext cx="1957918" cy="484121"/>
        </a:xfrm>
        <a:prstGeom prst="rect">
          <a:avLst/>
        </a:prstGeom>
      </xdr:spPr>
    </xdr:pic>
    <xdr:clientData/>
  </xdr:twoCellAnchor>
  <xdr:twoCellAnchor editAs="oneCell">
    <xdr:from>
      <xdr:col>4</xdr:col>
      <xdr:colOff>723900</xdr:colOff>
      <xdr:row>39</xdr:row>
      <xdr:rowOff>9525</xdr:rowOff>
    </xdr:from>
    <xdr:to>
      <xdr:col>12</xdr:col>
      <xdr:colOff>66264</xdr:colOff>
      <xdr:row>40</xdr:row>
      <xdr:rowOff>5357</xdr:rowOff>
    </xdr:to>
    <xdr:pic>
      <xdr:nvPicPr>
        <xdr:cNvPr id="8" name="Picture 8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296025" y="6877050"/>
          <a:ext cx="1485489" cy="39588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86</xdr:row>
          <xdr:rowOff>19050</xdr:rowOff>
        </xdr:from>
        <xdr:to>
          <xdr:col>4</xdr:col>
          <xdr:colOff>600075</xdr:colOff>
          <xdr:row>87</xdr:row>
          <xdr:rowOff>28575</xdr:rowOff>
        </xdr:to>
        <xdr:sp macro="" textlink="">
          <xdr:nvSpPr>
            <xdr:cNvPr id="1025" name="Check Box 5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87</xdr:row>
          <xdr:rowOff>9525</xdr:rowOff>
        </xdr:from>
        <xdr:to>
          <xdr:col>4</xdr:col>
          <xdr:colOff>657225</xdr:colOff>
          <xdr:row>88</xdr:row>
          <xdr:rowOff>47625</xdr:rowOff>
        </xdr:to>
        <xdr:sp macro="" textlink="">
          <xdr:nvSpPr>
            <xdr:cNvPr id="1026" name="Check Box 1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89</xdr:row>
          <xdr:rowOff>28575</xdr:rowOff>
        </xdr:from>
        <xdr:to>
          <xdr:col>4</xdr:col>
          <xdr:colOff>647700</xdr:colOff>
          <xdr:row>90</xdr:row>
          <xdr:rowOff>28575</xdr:rowOff>
        </xdr:to>
        <xdr:sp macro="" textlink="">
          <xdr:nvSpPr>
            <xdr:cNvPr id="1027" name="Check Box 1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93</xdr:row>
          <xdr:rowOff>28575</xdr:rowOff>
        </xdr:from>
        <xdr:to>
          <xdr:col>4</xdr:col>
          <xdr:colOff>647700</xdr:colOff>
          <xdr:row>94</xdr:row>
          <xdr:rowOff>28575</xdr:rowOff>
        </xdr:to>
        <xdr:sp macro="" textlink="">
          <xdr:nvSpPr>
            <xdr:cNvPr id="1028" name="Check Box 1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28575</xdr:rowOff>
        </xdr:to>
        <xdr:sp macro="" textlink="">
          <xdr:nvSpPr>
            <xdr:cNvPr id="1030" name="Check Box 15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102</xdr:row>
          <xdr:rowOff>28575</xdr:rowOff>
        </xdr:from>
        <xdr:to>
          <xdr:col>4</xdr:col>
          <xdr:colOff>666750</xdr:colOff>
          <xdr:row>103</xdr:row>
          <xdr:rowOff>38100</xdr:rowOff>
        </xdr:to>
        <xdr:sp macro="" textlink="">
          <xdr:nvSpPr>
            <xdr:cNvPr id="1033" name="Check Box 20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95</xdr:row>
          <xdr:rowOff>28575</xdr:rowOff>
        </xdr:from>
        <xdr:to>
          <xdr:col>4</xdr:col>
          <xdr:colOff>647700</xdr:colOff>
          <xdr:row>96</xdr:row>
          <xdr:rowOff>28575</xdr:rowOff>
        </xdr:to>
        <xdr:sp macro="" textlink="">
          <xdr:nvSpPr>
            <xdr:cNvPr id="1034" name="Check Box 86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28575</xdr:rowOff>
        </xdr:to>
        <xdr:sp macro="" textlink="">
          <xdr:nvSpPr>
            <xdr:cNvPr id="1035" name="Check Box 8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88</xdr:row>
          <xdr:rowOff>28575</xdr:rowOff>
        </xdr:from>
        <xdr:to>
          <xdr:col>4</xdr:col>
          <xdr:colOff>647700</xdr:colOff>
          <xdr:row>89</xdr:row>
          <xdr:rowOff>28575</xdr:rowOff>
        </xdr:to>
        <xdr:sp macro="" textlink="">
          <xdr:nvSpPr>
            <xdr:cNvPr id="1036" name="Check Box 9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94</xdr:row>
          <xdr:rowOff>28575</xdr:rowOff>
        </xdr:from>
        <xdr:to>
          <xdr:col>4</xdr:col>
          <xdr:colOff>647700</xdr:colOff>
          <xdr:row>95</xdr:row>
          <xdr:rowOff>28575</xdr:rowOff>
        </xdr:to>
        <xdr:sp macro="" textlink="">
          <xdr:nvSpPr>
            <xdr:cNvPr id="1037" name="Check Box 9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103</xdr:row>
          <xdr:rowOff>9525</xdr:rowOff>
        </xdr:from>
        <xdr:to>
          <xdr:col>4</xdr:col>
          <xdr:colOff>647700</xdr:colOff>
          <xdr:row>104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92</xdr:row>
          <xdr:rowOff>28575</xdr:rowOff>
        </xdr:from>
        <xdr:to>
          <xdr:col>4</xdr:col>
          <xdr:colOff>647700</xdr:colOff>
          <xdr:row>93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104</xdr:row>
          <xdr:rowOff>19050</xdr:rowOff>
        </xdr:from>
        <xdr:to>
          <xdr:col>4</xdr:col>
          <xdr:colOff>647700</xdr:colOff>
          <xdr:row>105</xdr:row>
          <xdr:rowOff>19050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106</xdr:row>
          <xdr:rowOff>9525</xdr:rowOff>
        </xdr:from>
        <xdr:to>
          <xdr:col>4</xdr:col>
          <xdr:colOff>647700</xdr:colOff>
          <xdr:row>107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105</xdr:row>
          <xdr:rowOff>19050</xdr:rowOff>
        </xdr:from>
        <xdr:to>
          <xdr:col>4</xdr:col>
          <xdr:colOff>647700</xdr:colOff>
          <xdr:row>106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107</xdr:row>
          <xdr:rowOff>9525</xdr:rowOff>
        </xdr:from>
        <xdr:to>
          <xdr:col>4</xdr:col>
          <xdr:colOff>647700</xdr:colOff>
          <xdr:row>108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108</xdr:row>
          <xdr:rowOff>9525</xdr:rowOff>
        </xdr:from>
        <xdr:to>
          <xdr:col>4</xdr:col>
          <xdr:colOff>647700</xdr:colOff>
          <xdr:row>109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733425</xdr:colOff>
      <xdr:row>73</xdr:row>
      <xdr:rowOff>161925</xdr:rowOff>
    </xdr:from>
    <xdr:ext cx="1485489" cy="395882"/>
    <xdr:pic>
      <xdr:nvPicPr>
        <xdr:cNvPr id="53" name="Picture 8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305550" y="12934950"/>
          <a:ext cx="1485489" cy="395882"/>
        </a:xfrm>
        <a:prstGeom prst="rect">
          <a:avLst/>
        </a:prstGeom>
      </xdr:spPr>
    </xdr:pic>
    <xdr:clientData/>
  </xdr:oneCellAnchor>
  <xdr:oneCellAnchor>
    <xdr:from>
      <xdr:col>4</xdr:col>
      <xdr:colOff>771525</xdr:colOff>
      <xdr:row>82</xdr:row>
      <xdr:rowOff>28575</xdr:rowOff>
    </xdr:from>
    <xdr:ext cx="1485489" cy="395882"/>
    <xdr:pic>
      <xdr:nvPicPr>
        <xdr:cNvPr id="55" name="Picture 8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39" b="35240"/>
        <a:stretch/>
      </xdr:blipFill>
      <xdr:spPr>
        <a:xfrm>
          <a:off x="6343650" y="14859000"/>
          <a:ext cx="1485489" cy="395882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77</xdr:row>
          <xdr:rowOff>19050</xdr:rowOff>
        </xdr:from>
        <xdr:to>
          <xdr:col>4</xdr:col>
          <xdr:colOff>600075</xdr:colOff>
          <xdr:row>78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109</xdr:row>
          <xdr:rowOff>9525</xdr:rowOff>
        </xdr:from>
        <xdr:to>
          <xdr:col>4</xdr:col>
          <xdr:colOff>647700</xdr:colOff>
          <xdr:row>110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110</xdr:row>
          <xdr:rowOff>9525</xdr:rowOff>
        </xdr:from>
        <xdr:to>
          <xdr:col>4</xdr:col>
          <xdr:colOff>647700</xdr:colOff>
          <xdr:row>111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111</xdr:row>
          <xdr:rowOff>9525</xdr:rowOff>
        </xdr:from>
        <xdr:to>
          <xdr:col>4</xdr:col>
          <xdr:colOff>647700</xdr:colOff>
          <xdr:row>112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112</xdr:row>
          <xdr:rowOff>19050</xdr:rowOff>
        </xdr:from>
        <xdr:to>
          <xdr:col>4</xdr:col>
          <xdr:colOff>647700</xdr:colOff>
          <xdr:row>113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113</xdr:row>
          <xdr:rowOff>9525</xdr:rowOff>
        </xdr:from>
        <xdr:to>
          <xdr:col>4</xdr:col>
          <xdr:colOff>647700</xdr:colOff>
          <xdr:row>114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114</xdr:row>
          <xdr:rowOff>9525</xdr:rowOff>
        </xdr:from>
        <xdr:to>
          <xdr:col>4</xdr:col>
          <xdr:colOff>647700</xdr:colOff>
          <xdr:row>115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115</xdr:row>
          <xdr:rowOff>9525</xdr:rowOff>
        </xdr:from>
        <xdr:to>
          <xdr:col>4</xdr:col>
          <xdr:colOff>647700</xdr:colOff>
          <xdr:row>116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116</xdr:row>
          <xdr:rowOff>9525</xdr:rowOff>
        </xdr:from>
        <xdr:to>
          <xdr:col>4</xdr:col>
          <xdr:colOff>647700</xdr:colOff>
          <xdr:row>117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117</xdr:row>
          <xdr:rowOff>9525</xdr:rowOff>
        </xdr:from>
        <xdr:to>
          <xdr:col>4</xdr:col>
          <xdr:colOff>647700</xdr:colOff>
          <xdr:row>118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118</xdr:row>
          <xdr:rowOff>9525</xdr:rowOff>
        </xdr:from>
        <xdr:to>
          <xdr:col>4</xdr:col>
          <xdr:colOff>647700</xdr:colOff>
          <xdr:row>119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120</xdr:row>
          <xdr:rowOff>9525</xdr:rowOff>
        </xdr:from>
        <xdr:to>
          <xdr:col>4</xdr:col>
          <xdr:colOff>647700</xdr:colOff>
          <xdr:row>121</xdr:row>
          <xdr:rowOff>9525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121</xdr:row>
          <xdr:rowOff>9525</xdr:rowOff>
        </xdr:from>
        <xdr:to>
          <xdr:col>4</xdr:col>
          <xdr:colOff>647700</xdr:colOff>
          <xdr:row>122</xdr:row>
          <xdr:rowOff>9525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122</xdr:row>
          <xdr:rowOff>9525</xdr:rowOff>
        </xdr:from>
        <xdr:to>
          <xdr:col>4</xdr:col>
          <xdr:colOff>647700</xdr:colOff>
          <xdr:row>123</xdr:row>
          <xdr:rowOff>9525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123</xdr:row>
          <xdr:rowOff>9525</xdr:rowOff>
        </xdr:from>
        <xdr:to>
          <xdr:col>4</xdr:col>
          <xdr:colOff>647700</xdr:colOff>
          <xdr:row>124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124</xdr:row>
          <xdr:rowOff>9525</xdr:rowOff>
        </xdr:from>
        <xdr:to>
          <xdr:col>4</xdr:col>
          <xdr:colOff>647700</xdr:colOff>
          <xdr:row>125</xdr:row>
          <xdr:rowOff>9525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125</xdr:row>
          <xdr:rowOff>9525</xdr:rowOff>
        </xdr:from>
        <xdr:to>
          <xdr:col>4</xdr:col>
          <xdr:colOff>647700</xdr:colOff>
          <xdr:row>126</xdr:row>
          <xdr:rowOff>9525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126</xdr:row>
          <xdr:rowOff>9525</xdr:rowOff>
        </xdr:from>
        <xdr:to>
          <xdr:col>4</xdr:col>
          <xdr:colOff>647700</xdr:colOff>
          <xdr:row>127</xdr:row>
          <xdr:rowOff>9525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127</xdr:row>
          <xdr:rowOff>9525</xdr:rowOff>
        </xdr:from>
        <xdr:to>
          <xdr:col>4</xdr:col>
          <xdr:colOff>647700</xdr:colOff>
          <xdr:row>128</xdr:row>
          <xdr:rowOff>9525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90</xdr:row>
          <xdr:rowOff>28575</xdr:rowOff>
        </xdr:from>
        <xdr:to>
          <xdr:col>4</xdr:col>
          <xdr:colOff>647700</xdr:colOff>
          <xdr:row>91</xdr:row>
          <xdr:rowOff>28575</xdr:rowOff>
        </xdr:to>
        <xdr:sp macro="" textlink="">
          <xdr:nvSpPr>
            <xdr:cNvPr id="1158" name="Check Box 11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91</xdr:row>
          <xdr:rowOff>28575</xdr:rowOff>
        </xdr:from>
        <xdr:to>
          <xdr:col>4</xdr:col>
          <xdr:colOff>647700</xdr:colOff>
          <xdr:row>92</xdr:row>
          <xdr:rowOff>28575</xdr:rowOff>
        </xdr:to>
        <xdr:sp macro="" textlink="">
          <xdr:nvSpPr>
            <xdr:cNvPr id="1159" name="Check Box 11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28575</xdr:rowOff>
        </xdr:to>
        <xdr:sp macro="" textlink="">
          <xdr:nvSpPr>
            <xdr:cNvPr id="1160" name="Check Box 15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96</xdr:row>
          <xdr:rowOff>28575</xdr:rowOff>
        </xdr:from>
        <xdr:to>
          <xdr:col>4</xdr:col>
          <xdr:colOff>647700</xdr:colOff>
          <xdr:row>97</xdr:row>
          <xdr:rowOff>28575</xdr:rowOff>
        </xdr:to>
        <xdr:sp macro="" textlink="">
          <xdr:nvSpPr>
            <xdr:cNvPr id="1161" name="Check Box 86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28575</xdr:rowOff>
        </xdr:from>
        <xdr:to>
          <xdr:col>4</xdr:col>
          <xdr:colOff>647700</xdr:colOff>
          <xdr:row>98</xdr:row>
          <xdr:rowOff>28575</xdr:rowOff>
        </xdr:to>
        <xdr:sp macro="" textlink="">
          <xdr:nvSpPr>
            <xdr:cNvPr id="1162" name="Check Box 87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28575</xdr:rowOff>
        </xdr:from>
        <xdr:to>
          <xdr:col>4</xdr:col>
          <xdr:colOff>647700</xdr:colOff>
          <xdr:row>98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28575</xdr:rowOff>
        </xdr:from>
        <xdr:to>
          <xdr:col>4</xdr:col>
          <xdr:colOff>647700</xdr:colOff>
          <xdr:row>98</xdr:row>
          <xdr:rowOff>28575</xdr:rowOff>
        </xdr:to>
        <xdr:sp macro="" textlink="">
          <xdr:nvSpPr>
            <xdr:cNvPr id="1164" name="Check Box 15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97</xdr:row>
          <xdr:rowOff>28575</xdr:rowOff>
        </xdr:from>
        <xdr:to>
          <xdr:col>4</xdr:col>
          <xdr:colOff>647700</xdr:colOff>
          <xdr:row>98</xdr:row>
          <xdr:rowOff>28575</xdr:rowOff>
        </xdr:to>
        <xdr:sp macro="" textlink="">
          <xdr:nvSpPr>
            <xdr:cNvPr id="1165" name="Check Box 86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66" name="Check Box 87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68" name="Check Box 15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69" name="Check Box 86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70" name="Check Box 15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98</xdr:row>
          <xdr:rowOff>28575</xdr:rowOff>
        </xdr:from>
        <xdr:to>
          <xdr:col>4</xdr:col>
          <xdr:colOff>647700</xdr:colOff>
          <xdr:row>99</xdr:row>
          <xdr:rowOff>28575</xdr:rowOff>
        </xdr:to>
        <xdr:sp macro="" textlink="">
          <xdr:nvSpPr>
            <xdr:cNvPr id="1171" name="Check Box 86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2" name="Check Box 87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4" name="Check Box 15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5" name="Check Box 86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6" name="Check Box 15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99</xdr:row>
          <xdr:rowOff>28575</xdr:rowOff>
        </xdr:from>
        <xdr:to>
          <xdr:col>4</xdr:col>
          <xdr:colOff>647700</xdr:colOff>
          <xdr:row>100</xdr:row>
          <xdr:rowOff>28575</xdr:rowOff>
        </xdr:to>
        <xdr:sp macro="" textlink="">
          <xdr:nvSpPr>
            <xdr:cNvPr id="1177" name="Check Box 86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78" name="Check Box 87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80" name="Check Box 15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81" name="Check Box 86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82" name="Check Box 15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100</xdr:row>
          <xdr:rowOff>28575</xdr:rowOff>
        </xdr:from>
        <xdr:to>
          <xdr:col>4</xdr:col>
          <xdr:colOff>647700</xdr:colOff>
          <xdr:row>101</xdr:row>
          <xdr:rowOff>28575</xdr:rowOff>
        </xdr:to>
        <xdr:sp macro="" textlink="">
          <xdr:nvSpPr>
            <xdr:cNvPr id="1183" name="Check Box 86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647700</xdr:colOff>
          <xdr:row>102</xdr:row>
          <xdr:rowOff>28575</xdr:rowOff>
        </xdr:to>
        <xdr:sp macro="" textlink="">
          <xdr:nvSpPr>
            <xdr:cNvPr id="1184" name="Check Box 87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647700</xdr:colOff>
          <xdr:row>102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647700</xdr:colOff>
          <xdr:row>102</xdr:row>
          <xdr:rowOff>28575</xdr:rowOff>
        </xdr:to>
        <xdr:sp macro="" textlink="">
          <xdr:nvSpPr>
            <xdr:cNvPr id="1186" name="Check Box 15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101</xdr:row>
          <xdr:rowOff>28575</xdr:rowOff>
        </xdr:from>
        <xdr:to>
          <xdr:col>4</xdr:col>
          <xdr:colOff>647700</xdr:colOff>
          <xdr:row>102</xdr:row>
          <xdr:rowOff>28575</xdr:rowOff>
        </xdr:to>
        <xdr:sp macro="" textlink="">
          <xdr:nvSpPr>
            <xdr:cNvPr id="1187" name="Check Box 86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19051</xdr:colOff>
      <xdr:row>5</xdr:row>
      <xdr:rowOff>19051</xdr:rowOff>
    </xdr:from>
    <xdr:to>
      <xdr:col>5</xdr:col>
      <xdr:colOff>762001</xdr:colOff>
      <xdr:row>29</xdr:row>
      <xdr:rowOff>77807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FA05E04-696E-906A-C1C9-721B58939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1" y="1009651"/>
          <a:ext cx="7677150" cy="39449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0"/>
  <sheetViews>
    <sheetView tabSelected="1" view="pageBreakPreview" topLeftCell="A77" zoomScaleNormal="100" zoomScaleSheetLayoutView="100" workbookViewId="0">
      <selection activeCell="C38" sqref="C38"/>
    </sheetView>
  </sheetViews>
  <sheetFormatPr baseColWidth="10" defaultColWidth="11.5703125" defaultRowHeight="14.25" x14ac:dyDescent="0.2"/>
  <cols>
    <col min="1" max="1" width="20.42578125" style="14" customWidth="1"/>
    <col min="2" max="2" width="22.28515625" style="14" customWidth="1"/>
    <col min="3" max="5" width="20.42578125" style="14" customWidth="1"/>
    <col min="6" max="6" width="11.7109375" style="14" bestFit="1" customWidth="1"/>
    <col min="7" max="7" width="7.42578125" style="14" hidden="1" customWidth="1"/>
    <col min="8" max="8" width="26.42578125" style="14" hidden="1" customWidth="1"/>
    <col min="9" max="9" width="20.42578125" style="14" hidden="1" customWidth="1"/>
    <col min="10" max="10" width="10.28515625" style="14" hidden="1" customWidth="1"/>
    <col min="11" max="12" width="0" style="14" hidden="1" customWidth="1"/>
    <col min="13" max="16384" width="11.5703125" style="14"/>
  </cols>
  <sheetData>
    <row r="1" spans="1:6" s="7" customFormat="1" ht="12.75" x14ac:dyDescent="0.2">
      <c r="A1" s="6"/>
      <c r="B1" s="6"/>
      <c r="C1" s="6"/>
      <c r="D1" s="6"/>
      <c r="E1" s="6"/>
      <c r="F1" s="6"/>
    </row>
    <row r="2" spans="1:6" s="7" customFormat="1" ht="12.75" x14ac:dyDescent="0.2">
      <c r="A2" s="6"/>
      <c r="B2" s="6"/>
      <c r="C2" s="6"/>
      <c r="D2" s="6"/>
      <c r="E2" s="6"/>
      <c r="F2" s="6"/>
    </row>
    <row r="3" spans="1:6" s="7" customFormat="1" ht="12.75" x14ac:dyDescent="0.2">
      <c r="A3" s="6"/>
      <c r="B3" s="6"/>
      <c r="C3" s="6"/>
      <c r="D3" s="6"/>
      <c r="E3" s="6"/>
      <c r="F3" s="6"/>
    </row>
    <row r="4" spans="1:6" s="7" customFormat="1" ht="27" x14ac:dyDescent="0.35">
      <c r="A4" s="5" t="s">
        <v>13</v>
      </c>
      <c r="B4" s="9"/>
      <c r="C4" s="6"/>
      <c r="D4" s="6"/>
      <c r="E4" s="6"/>
      <c r="F4" s="6"/>
    </row>
    <row r="5" spans="1:6" s="7" customFormat="1" ht="12.75" x14ac:dyDescent="0.2">
      <c r="A5" s="6"/>
      <c r="B5" s="6"/>
      <c r="C5" s="6"/>
      <c r="D5" s="6"/>
      <c r="E5" s="6"/>
      <c r="F5" s="6"/>
    </row>
    <row r="6" spans="1:6" s="7" customFormat="1" ht="12.75" x14ac:dyDescent="0.2">
      <c r="A6" s="6"/>
      <c r="B6" s="6"/>
      <c r="C6" s="6"/>
      <c r="D6" s="6"/>
      <c r="E6" s="6"/>
      <c r="F6" s="6"/>
    </row>
    <row r="7" spans="1:6" s="7" customFormat="1" ht="12.75" x14ac:dyDescent="0.2">
      <c r="A7" s="6"/>
      <c r="B7" s="6"/>
      <c r="C7" s="6"/>
      <c r="D7" s="6"/>
      <c r="E7" s="6"/>
      <c r="F7" s="6"/>
    </row>
    <row r="8" spans="1:6" s="7" customFormat="1" ht="12.75" x14ac:dyDescent="0.2">
      <c r="A8" s="10"/>
      <c r="B8" s="10"/>
      <c r="C8" s="10"/>
      <c r="D8" s="10"/>
      <c r="E8" s="10"/>
      <c r="F8" s="10"/>
    </row>
    <row r="9" spans="1:6" s="7" customFormat="1" ht="12.75" x14ac:dyDescent="0.2"/>
    <row r="10" spans="1:6" s="7" customFormat="1" ht="12.75" x14ac:dyDescent="0.2"/>
    <row r="11" spans="1:6" s="7" customFormat="1" ht="12.75" x14ac:dyDescent="0.2"/>
    <row r="12" spans="1:6" s="7" customFormat="1" ht="12.75" x14ac:dyDescent="0.2"/>
    <row r="13" spans="1:6" s="7" customFormat="1" ht="12.75" x14ac:dyDescent="0.2"/>
    <row r="14" spans="1:6" s="7" customFormat="1" ht="12.75" x14ac:dyDescent="0.2"/>
    <row r="15" spans="1:6" s="7" customFormat="1" ht="12.75" x14ac:dyDescent="0.2"/>
    <row r="16" spans="1:6" s="7" customFormat="1" ht="12.75" x14ac:dyDescent="0.2"/>
    <row r="17" spans="1:9" s="7" customFormat="1" ht="12.75" x14ac:dyDescent="0.2"/>
    <row r="18" spans="1:9" s="7" customFormat="1" ht="12.75" x14ac:dyDescent="0.2"/>
    <row r="19" spans="1:9" s="7" customFormat="1" ht="12.75" x14ac:dyDescent="0.2"/>
    <row r="20" spans="1:9" s="7" customFormat="1" ht="12.75" x14ac:dyDescent="0.2"/>
    <row r="21" spans="1:9" s="7" customFormat="1" ht="12.75" x14ac:dyDescent="0.2"/>
    <row r="22" spans="1:9" s="7" customFormat="1" ht="12.75" x14ac:dyDescent="0.2"/>
    <row r="23" spans="1:9" s="7" customFormat="1" ht="12.75" x14ac:dyDescent="0.2"/>
    <row r="24" spans="1:9" s="7" customFormat="1" ht="12.75" x14ac:dyDescent="0.2"/>
    <row r="25" spans="1:9" s="7" customFormat="1" ht="12.75" x14ac:dyDescent="0.2"/>
    <row r="26" spans="1:9" s="7" customFormat="1" ht="12.75" x14ac:dyDescent="0.2"/>
    <row r="27" spans="1:9" s="7" customFormat="1" ht="12.75" x14ac:dyDescent="0.2"/>
    <row r="28" spans="1:9" s="7" customFormat="1" ht="12.75" x14ac:dyDescent="0.2"/>
    <row r="29" spans="1:9" s="7" customFormat="1" ht="12.75" x14ac:dyDescent="0.2">
      <c r="A29" s="10"/>
      <c r="B29" s="10"/>
      <c r="C29" s="10"/>
      <c r="D29" s="10"/>
      <c r="E29" s="10"/>
      <c r="F29" s="10"/>
    </row>
    <row r="30" spans="1:9" s="7" customFormat="1" ht="12.75" x14ac:dyDescent="0.2">
      <c r="A30" s="10"/>
      <c r="B30" s="10"/>
      <c r="C30" s="10"/>
      <c r="D30" s="10"/>
      <c r="E30" s="10"/>
      <c r="F30" s="10"/>
    </row>
    <row r="31" spans="1:9" s="7" customFormat="1" ht="25.5" customHeight="1" x14ac:dyDescent="0.4">
      <c r="A31" s="126" t="str">
        <f>IF(C38="Deutsch","Preisliste 2026",IF(C38="English","Price list 2026",IF(C38="Italiano","Listino Prezzi 2026","")))</f>
        <v>Preisliste 2026</v>
      </c>
      <c r="B31" s="126"/>
      <c r="C31" s="126"/>
      <c r="D31" s="126"/>
      <c r="E31" s="11"/>
      <c r="F31" s="11"/>
      <c r="H31" s="57"/>
      <c r="I31" s="57"/>
    </row>
    <row r="32" spans="1:9" s="7" customFormat="1" ht="12.75" x14ac:dyDescent="0.2">
      <c r="A32" s="10"/>
      <c r="B32" s="10"/>
      <c r="C32" s="10"/>
      <c r="D32" s="10"/>
      <c r="E32" s="10"/>
      <c r="F32" s="10"/>
      <c r="H32" s="57"/>
      <c r="I32" s="57"/>
    </row>
    <row r="33" spans="1:9" s="7" customFormat="1" ht="12.75" x14ac:dyDescent="0.2">
      <c r="A33" s="10"/>
      <c r="B33" s="10"/>
      <c r="C33" s="10"/>
      <c r="D33" s="10"/>
      <c r="E33" s="10"/>
      <c r="F33" s="10"/>
      <c r="H33" s="57"/>
      <c r="I33" s="57"/>
    </row>
    <row r="34" spans="1:9" s="7" customFormat="1" ht="1.5" customHeight="1" x14ac:dyDescent="0.2">
      <c r="H34" s="57"/>
      <c r="I34" s="57"/>
    </row>
    <row r="35" spans="1:9" s="7" customFormat="1" ht="12.75" hidden="1" x14ac:dyDescent="0.2">
      <c r="H35" s="57"/>
      <c r="I35" s="57"/>
    </row>
    <row r="36" spans="1:9" s="7" customFormat="1" ht="13.5" hidden="1" customHeight="1" x14ac:dyDescent="0.2">
      <c r="H36" s="57"/>
      <c r="I36" s="57"/>
    </row>
    <row r="37" spans="1:9" s="7" customFormat="1" ht="13.5" customHeight="1" x14ac:dyDescent="0.2">
      <c r="A37" s="128" t="s">
        <v>3</v>
      </c>
      <c r="B37" s="128"/>
      <c r="C37" s="128"/>
      <c r="D37" s="128"/>
      <c r="E37" s="128"/>
      <c r="F37" s="128"/>
      <c r="H37" s="57"/>
      <c r="I37" s="57"/>
    </row>
    <row r="38" spans="1:9" s="7" customFormat="1" ht="13.5" customHeight="1" x14ac:dyDescent="0.2">
      <c r="A38" s="54"/>
      <c r="B38" s="56"/>
      <c r="C38" s="63" t="s">
        <v>21</v>
      </c>
      <c r="D38" s="55"/>
    </row>
    <row r="39" spans="1:9" s="7" customFormat="1" ht="13.5" customHeight="1" x14ac:dyDescent="0.2"/>
    <row r="40" spans="1:9" s="49" customFormat="1" ht="31.5" customHeight="1" x14ac:dyDescent="0.25">
      <c r="A40" s="123" t="s">
        <v>14</v>
      </c>
      <c r="B40" s="123"/>
      <c r="C40" s="123"/>
      <c r="D40" s="123"/>
      <c r="E40" s="64"/>
      <c r="F40" s="65"/>
    </row>
    <row r="41" spans="1:9" s="1" customFormat="1" ht="0.75" customHeight="1" x14ac:dyDescent="0.2">
      <c r="A41" s="66"/>
      <c r="B41" s="67"/>
      <c r="C41" s="68"/>
      <c r="D41" s="69"/>
      <c r="E41" s="69"/>
      <c r="F41" s="69"/>
    </row>
    <row r="42" spans="1:9" s="32" customFormat="1" x14ac:dyDescent="0.2">
      <c r="A42" s="70" t="str">
        <f>IF(C38="Deutsch","TECHNISCHE DATEN:",IF(C38="English","TECHNICAL DATA",IF(C38="Italiano","DATA TECNICI:","")))</f>
        <v>TECHNISCHE DATEN:</v>
      </c>
      <c r="B42" s="71"/>
      <c r="C42" s="71"/>
      <c r="D42" s="71"/>
      <c r="E42" s="71"/>
      <c r="F42" s="72"/>
    </row>
    <row r="43" spans="1:9" s="7" customFormat="1" ht="2.25" customHeight="1" x14ac:dyDescent="0.2">
      <c r="A43" s="73"/>
      <c r="B43" s="74"/>
      <c r="C43" s="61"/>
      <c r="D43" s="61"/>
      <c r="E43" s="61"/>
      <c r="F43" s="61"/>
    </row>
    <row r="44" spans="1:9" s="7" customFormat="1" ht="12.75" customHeight="1" x14ac:dyDescent="0.2">
      <c r="A44" s="127" t="str">
        <f>IF(C38="Deutsch","Rumpflänge:",IF(C38="English","Hull length:",IF(C38="Italiano","Lunghezza dello scafo:","")))</f>
        <v>Rumpflänge:</v>
      </c>
      <c r="B44" s="127"/>
      <c r="C44" s="75" t="s">
        <v>16</v>
      </c>
      <c r="D44" s="60"/>
      <c r="E44" s="61"/>
      <c r="F44" s="61"/>
    </row>
    <row r="45" spans="1:9" s="7" customFormat="1" ht="12.75" customHeight="1" x14ac:dyDescent="0.2">
      <c r="A45" s="60" t="str">
        <f>IF(C38="Deutsch","Breite:",IF(C38="English","Width:",IF(C38="Italiano","Larghezza:","")))</f>
        <v>Breite:</v>
      </c>
      <c r="B45" s="61"/>
      <c r="C45" s="75" t="s">
        <v>17</v>
      </c>
      <c r="D45" s="60"/>
      <c r="E45" s="61"/>
      <c r="F45" s="61"/>
    </row>
    <row r="46" spans="1:9" s="7" customFormat="1" ht="12.75" customHeight="1" x14ac:dyDescent="0.2">
      <c r="A46" s="60" t="str">
        <f>IF(C38="Deutsch","Gewicht:",IF(C38="English","Weight:",IF(C38="Italiano","Peso:","")))</f>
        <v>Gewicht:</v>
      </c>
      <c r="B46" s="61"/>
      <c r="C46" s="75" t="str">
        <f>IF(C38="Deutsch","ab ca. 6.000 kg",IF(C38="English","from approx. 6.000 kg",IF(C38="Italiano","da circa 6.000 kg","")))</f>
        <v>ab ca. 6.000 kg</v>
      </c>
      <c r="D46" s="61"/>
      <c r="E46" s="61"/>
      <c r="F46" s="61"/>
    </row>
    <row r="47" spans="1:9" s="7" customFormat="1" ht="12.75" customHeight="1" x14ac:dyDescent="0.2">
      <c r="A47" s="60" t="str">
        <f>IF(C38="Deutsch","Tiefgang min/max:",IF(C38="English","Draft min/max:",IF(C38="Italiano","Pescaggio min/max:","")))</f>
        <v>Tiefgang min/max:</v>
      </c>
      <c r="B47" s="61"/>
      <c r="C47" s="75" t="str">
        <f>IF(C38="Deutsch","ca. 1,0 m",IF(C38="English","approx. 1,0 m",IF(C38="Italiano","circa 1,0 m","")))</f>
        <v>ca. 1,0 m</v>
      </c>
      <c r="D47" s="61"/>
      <c r="E47" s="61"/>
      <c r="F47" s="61"/>
    </row>
    <row r="48" spans="1:9" s="7" customFormat="1" ht="12.75" customHeight="1" x14ac:dyDescent="0.2">
      <c r="A48" s="60" t="str">
        <f>IF(C38="Deutsch","Kraftstofftank:",IF(C38="English","Fuel tank:",IF(C38="Italiano","Serbatoio carburante","")))</f>
        <v>Kraftstofftank:</v>
      </c>
      <c r="B48" s="61"/>
      <c r="C48" s="75" t="s">
        <v>15</v>
      </c>
      <c r="D48" s="60"/>
      <c r="E48" s="61"/>
      <c r="F48" s="61"/>
    </row>
    <row r="49" spans="1:6" s="7" customFormat="1" ht="12.75" customHeight="1" x14ac:dyDescent="0.2">
      <c r="A49" s="60" t="str">
        <f>IF(C38="Deutsch","Frischwassertank:",IF(C38="English","Water tank:",IF(C38="Italiano","Serbatoio acqua dolce","")))</f>
        <v>Frischwassertank:</v>
      </c>
      <c r="B49" s="61"/>
      <c r="C49" s="75" t="s">
        <v>18</v>
      </c>
      <c r="D49" s="60"/>
      <c r="E49" s="61"/>
      <c r="F49" s="61"/>
    </row>
    <row r="50" spans="1:6" s="7" customFormat="1" ht="12.75" customHeight="1" x14ac:dyDescent="0.2">
      <c r="A50" s="60" t="str">
        <f>IF(C38="Deutsch","Anzahl zugel. Personen",IF(C38="English","Max. allowed crew:",IF(C38="Italiano","Numero di persone autorizzate:","")))</f>
        <v>Anzahl zugel. Personen</v>
      </c>
      <c r="B50" s="62"/>
      <c r="C50" s="76">
        <v>10</v>
      </c>
      <c r="D50" s="60"/>
      <c r="E50" s="61"/>
      <c r="F50" s="61"/>
    </row>
    <row r="51" spans="1:6" s="33" customFormat="1" ht="12.75" customHeight="1" x14ac:dyDescent="0.2">
      <c r="A51" s="60" t="str">
        <f>IF(C38="Deutsch","Design Kategorie:",IF(C38="English","Design Categorie:",IF(C38="Italiano","Categoria die progettazione:","")))</f>
        <v>Design Kategorie:</v>
      </c>
      <c r="B51" s="60"/>
      <c r="C51" s="75" t="s">
        <v>19</v>
      </c>
      <c r="D51" s="60"/>
      <c r="E51" s="60"/>
      <c r="F51" s="60"/>
    </row>
    <row r="52" spans="1:6" s="7" customFormat="1" ht="2.25" customHeight="1" x14ac:dyDescent="0.2">
      <c r="A52" s="77"/>
      <c r="B52" s="78"/>
      <c r="C52" s="79"/>
      <c r="D52" s="79"/>
      <c r="E52" s="80"/>
      <c r="F52" s="80"/>
    </row>
    <row r="53" spans="1:6" s="7" customFormat="1" ht="22.5" customHeight="1" x14ac:dyDescent="0.2">
      <c r="A53" s="129" t="str">
        <f>IF(C38="Deutsch","  STANDARD EQUIPMENT:",IF(C38="English","STANDARD EQUIPMENT:",IF(C38="Italiano","DOTAZIONE STANDARD:","")))</f>
        <v xml:space="preserve">  STANDARD EQUIPMENT:</v>
      </c>
      <c r="B53" s="129"/>
      <c r="C53" s="129"/>
      <c r="D53" s="129"/>
      <c r="E53" s="129"/>
      <c r="F53" s="129"/>
    </row>
    <row r="54" spans="1:6" s="7" customFormat="1" ht="13.5" customHeight="1" x14ac:dyDescent="0.2">
      <c r="A54" s="81" t="str">
        <f>IF(C38="Deutsch","KABINE",IF(C38="English","CABIN",IF(C38="Italiano","CABINA","")))</f>
        <v>KABINE</v>
      </c>
      <c r="B54" s="82"/>
      <c r="C54" s="81" t="str">
        <f>IF(C38="Deutsch","BADEZIMMER",IF(C38="English","BATHROOM",IF(C38="Italiano","BAGNO","")))</f>
        <v>BADEZIMMER</v>
      </c>
      <c r="D54" s="83"/>
      <c r="E54" s="81" t="str">
        <f>IF(C38="Deutsch","COCKPIT",IF(C38="English","COCKPIT",IF(C38="Italiano","COCKPIT","")))</f>
        <v>COCKPIT</v>
      </c>
      <c r="F54" s="80"/>
    </row>
    <row r="55" spans="1:6" s="17" customFormat="1" ht="15" customHeight="1" x14ac:dyDescent="0.2">
      <c r="A55" s="84" t="str">
        <f>IF(C38="Deutsch","Schrank und Regale",IF(C38="English","Cupboard and shelves",IF(C38="Italiano","Armadio e scaffali","")))</f>
        <v>Schrank und Regale</v>
      </c>
      <c r="B55" s="85"/>
      <c r="C55" s="84" t="str">
        <f>IF(C38="Deutsch","Toilette",IF(C38="English","Toilet",IF(C38="Italiano","toilette","")))</f>
        <v>Toilette</v>
      </c>
      <c r="D55" s="86"/>
      <c r="E55" s="86" t="str">
        <f>IF(C38="Deutsch","Sonnensofa und Sitzplätze",IF(C38="English","Sun sofa and sittings",IF(C38="Italiano","Divano prendisole e posti a sedere","")))</f>
        <v>Sonnensofa und Sitzplätze</v>
      </c>
      <c r="F55" s="86"/>
    </row>
    <row r="56" spans="1:6" s="17" customFormat="1" ht="15" customHeight="1" x14ac:dyDescent="0.2">
      <c r="A56" s="84" t="str">
        <f>IF(C38="Deutsch","Beleuchtung 12V",IF(C38="English","Lighting 12V",IF(C38="Italiano","Illuminazione a 12 V ","")))</f>
        <v>Beleuchtung 12V</v>
      </c>
      <c r="B56" s="85"/>
      <c r="C56" s="84" t="str">
        <f>IF(C38="Deutsch","Waschbecken",IF(C38="English","Sink",IF(C38="Italiano","Lavandino","")))</f>
        <v>Waschbecken</v>
      </c>
      <c r="D56" s="86"/>
      <c r="E56" s="86" t="str">
        <f>IF(C38="Deutsch","Kapitänssitze (3)",IF(C38="English","Captain Seats (3)",IF(C38="Italiano","Sedile capitano (3)","")))</f>
        <v>Kapitänssitze (3)</v>
      </c>
      <c r="F56" s="87"/>
    </row>
    <row r="57" spans="1:6" s="17" customFormat="1" ht="15" customHeight="1" x14ac:dyDescent="0.2">
      <c r="A57" s="84" t="str">
        <f>IF(C38="Deutsch","Teppich",IF(C38="English","Carpet",IF(C38="Italiano","Tappto ","")))</f>
        <v>Teppich</v>
      </c>
      <c r="B57" s="85"/>
      <c r="C57" s="84" t="str">
        <f>IF(C38="Deutsch","Unterschrank",IF(C38="English","Floor cupboard",IF(C38="Italiano","armadietto basso","")))</f>
        <v>Unterschrank</v>
      </c>
      <c r="D57" s="88"/>
      <c r="E57" s="86" t="str">
        <f>IF(C38="Deutsch","Tisch mit Getränkehalter",IF(C38="English","Table with drink holder",IF(C38="Italiano","Tavolo con portabevande","")))</f>
        <v>Tisch mit Getränkehalter</v>
      </c>
      <c r="F57" s="89"/>
    </row>
    <row r="58" spans="1:6" s="17" customFormat="1" ht="15" customHeight="1" x14ac:dyDescent="0.2">
      <c r="A58" s="84" t="str">
        <f>IF(C38="Deutsch","Fenster",IF(C38="English","Window",IF(C38="Italiano","Finestra ","")))</f>
        <v>Fenster</v>
      </c>
      <c r="B58" s="85"/>
      <c r="C58" s="84" t="str">
        <f>IF(C38="Deutsch","Beleuchtung 12V",IF(C38="English","Lighting 12V",IF(C38="Italiano","Illuminazione a12V","")))</f>
        <v>Beleuchtung 12V</v>
      </c>
      <c r="D58" s="90"/>
      <c r="E58" s="86" t="str">
        <f>IF(C38="Deutsch","230V Landanschluss",IF(C38="English","230V shore power connection",IF(C38="Italiano","Allacciamento alla rete elettrica 230 V","")))</f>
        <v>230V Landanschluss</v>
      </c>
      <c r="F58" s="90"/>
    </row>
    <row r="59" spans="1:6" s="17" customFormat="1" ht="15" customHeight="1" x14ac:dyDescent="0.2">
      <c r="A59" s="84" t="str">
        <f>IF(C38="Deutsch","12V, 230V Steckdose",IF(C38="English","12V, 230V Socket",IF(C38="Italiano","Presa di corrente 12V, 230V ","")))</f>
        <v>12V, 230V Steckdose</v>
      </c>
      <c r="B59" s="85"/>
      <c r="C59" s="84" t="str">
        <f>IF(C38="Deutsch","Fenster",IF(C38="English","Window",IF(C38="Italiano","Finestra ","")))</f>
        <v>Fenster</v>
      </c>
      <c r="D59" s="90"/>
      <c r="E59" s="88" t="str">
        <f>IF(C38="Deutsch","Badeplattform und Badeleiter",IF(C38="English","Swimming platform and swim ladder",IF(C38="Italiano","Piattaforma da bagno e scaletta da bagno","")))</f>
        <v>Badeplattform und Badeleiter</v>
      </c>
      <c r="F59" s="90"/>
    </row>
    <row r="60" spans="1:6" s="17" customFormat="1" ht="15" customHeight="1" x14ac:dyDescent="0.2">
      <c r="A60" s="84" t="str">
        <f>IF(C38="Deutsch","Leselampe",IF(C38="English","Reading lights",IF(C38="Italiano","Lampada da lettura ","")))</f>
        <v>Leselampe</v>
      </c>
      <c r="B60" s="85"/>
      <c r="C60" s="84"/>
      <c r="D60" s="90"/>
      <c r="E60" s="90" t="str">
        <f>IF(C38="Deutsch","Steuerrad",IF(C38="English","Steering wheel",IF(C38="Italiano","timone","")))</f>
        <v>Steuerrad</v>
      </c>
      <c r="F60" s="90"/>
    </row>
    <row r="61" spans="1:6" s="17" customFormat="1" ht="15" customHeight="1" x14ac:dyDescent="0.2">
      <c r="A61" s="84" t="str">
        <f>IF(C38="Deutsch","Bett für 2 Personen",IF(C38="English","Bed for 2 people",IF(C38="Italiano","Letto per 2 persone ","")))</f>
        <v>Bett für 2 Personen</v>
      </c>
      <c r="B61" s="85"/>
      <c r="C61" s="84"/>
      <c r="D61" s="90"/>
      <c r="E61" s="90" t="str">
        <f>IF(C38="Deutsch","Windschutzscheibe",IF(C38="English","Windshield",IF(C38="Italiano","parabrezza","")))</f>
        <v>Windschutzscheibe</v>
      </c>
      <c r="F61" s="90"/>
    </row>
    <row r="62" spans="1:6" s="17" customFormat="1" ht="15" customHeight="1" x14ac:dyDescent="0.2">
      <c r="A62" s="84" t="s">
        <v>4</v>
      </c>
      <c r="B62" s="85"/>
      <c r="C62" s="84"/>
      <c r="D62" s="90"/>
      <c r="E62" s="90" t="str">
        <f>IF(C38="Deutsch","LED Getränkehalter",IF(C38="English","LED drink holder",IF(C38="Italiano","Portabevande a LED","")))</f>
        <v>LED Getränkehalter</v>
      </c>
      <c r="F62" s="90"/>
    </row>
    <row r="63" spans="1:6" s="17" customFormat="1" ht="15" customHeight="1" x14ac:dyDescent="0.2">
      <c r="A63" s="84" t="s">
        <v>5</v>
      </c>
      <c r="B63" s="85"/>
      <c r="C63" s="84"/>
      <c r="D63" s="90"/>
      <c r="E63" s="90" t="str">
        <f>IF(C38="Deutsch","Lautsprecher, wasserdicht",IF(C38="English","Speaker, waterproof",IF(C38="Italiano","Portabevande a LED","")))</f>
        <v>Lautsprecher, wasserdicht</v>
      </c>
      <c r="F63" s="90"/>
    </row>
    <row r="64" spans="1:6" s="17" customFormat="1" ht="15" customHeight="1" x14ac:dyDescent="0.2">
      <c r="A64" s="84"/>
      <c r="B64" s="86"/>
      <c r="C64" s="84"/>
      <c r="D64" s="85"/>
      <c r="E64" s="84" t="str">
        <f>IF(C38="Deutsch","Beleuchtung 12V",IF(C38="English","Lighting 12V",IF(C38="Italiano","Illuminazione a 12 V ","")))</f>
        <v>Beleuchtung 12V</v>
      </c>
      <c r="F64" s="90"/>
    </row>
    <row r="65" spans="1:10" s="17" customFormat="1" ht="15.75" customHeight="1" x14ac:dyDescent="0.2">
      <c r="A65" s="81" t="str">
        <f>IF(C38="Deutsch","DECK",IF(C38="English","DECK",IF(C38="Italiano","DECK","")))</f>
        <v>DECK</v>
      </c>
      <c r="B65" s="86"/>
      <c r="C65" s="81" t="str">
        <f>IF(C38="Deutsch","TECHNIK",IF(C38="English","TECHNOLOGY",IF(C38="Italiano","TECNICA","")))</f>
        <v>TECHNIK</v>
      </c>
      <c r="D65" s="85"/>
      <c r="E65" s="90" t="str">
        <f>IF(C38="Deutsch","Hauptschalter Elektrik",IF(C38="English","Main electric switches",IF(C38="Italiano","Interruttori elettrici principali","")))</f>
        <v>Hauptschalter Elektrik</v>
      </c>
      <c r="F65" s="85"/>
    </row>
    <row r="66" spans="1:10" s="17" customFormat="1" ht="15.75" customHeight="1" x14ac:dyDescent="0.2">
      <c r="A66" s="84" t="str">
        <f>IF(C38="Deutsch","Klampen versenkbar",IF(C38="English","Foldable clamps",IF(C38="Italiano","Puntali a scomparsa","")))</f>
        <v>Klampen versenkbar</v>
      </c>
      <c r="B66" s="86"/>
      <c r="C66" s="84" t="str">
        <f>IF(C38="Deutsch","Batterien inkl. Ladegerät",IF(C38="English","Batteries including charger",IF(C38="Italiano","Batterie incl. caricabatterie","")))</f>
        <v>Batterien inkl. Ladegerät</v>
      </c>
      <c r="D66" s="85"/>
      <c r="E66" s="90" t="str">
        <f>IF(C38="Deutsch","Hupe",IF(C38="English","Horn",IF(C38="Italiano","clacson","")))</f>
        <v>Hupe</v>
      </c>
      <c r="F66" s="85"/>
      <c r="G66" s="17" t="b">
        <v>1</v>
      </c>
    </row>
    <row r="67" spans="1:10" s="17" customFormat="1" ht="15.75" customHeight="1" x14ac:dyDescent="0.2">
      <c r="A67" s="84" t="str">
        <f>IF(C38="Deutsch","Scheuerleiste",IF(C38="English","Skirting board",IF(C38="Italiano","battiscopa","")))</f>
        <v>Scheuerleiste</v>
      </c>
      <c r="B67" s="84"/>
      <c r="C67" s="84" t="str">
        <f>IF(C38="Deutsch","Bilgenpumpe",IF(C38="English","Bilge pump",IF(C38="Italiano","Batterie incl. caricabatterie","")))</f>
        <v>Bilgenpumpe</v>
      </c>
      <c r="D67" s="85"/>
      <c r="E67" s="90" t="str">
        <f>IF(C38="Deutsch","Plotter12""(3)",IF(C38="English","Plotter 12"" (3)",IF(C38="Italiano","Plotter 12"" (3)","")))</f>
        <v>Plotter12"(3)</v>
      </c>
      <c r="F67" s="91"/>
    </row>
    <row r="68" spans="1:10" s="17" customFormat="1" ht="15.75" customHeight="1" x14ac:dyDescent="0.2">
      <c r="A68" s="84" t="str">
        <f>IF(C38="Deutsch","Navigationslichter",IF(C38="English","Navigation lights",IF(C38="Italiano","luci di navigazione","")))</f>
        <v>Navigationslichter</v>
      </c>
      <c r="B68" s="84"/>
      <c r="C68" s="84" t="str">
        <f>IF(C38="Deutsch","Kraftstofftank",IF(C38="English","Fuel tank",IF(C38="Italiano","serbatoio del carburante","")))</f>
        <v>Kraftstofftank</v>
      </c>
      <c r="D68" s="85"/>
      <c r="E68" s="90" t="str">
        <f>IF(C38="Deutsch","Feuerlöscher",IF(C38="English","Fire extinguisher",IF(C38="Italiano","estintore","")))</f>
        <v>Feuerlöscher</v>
      </c>
      <c r="F68" s="91"/>
      <c r="G68" s="17" t="b">
        <v>0</v>
      </c>
    </row>
    <row r="69" spans="1:10" s="17" customFormat="1" ht="15.75" customHeight="1" x14ac:dyDescent="0.2">
      <c r="A69" s="84" t="str">
        <f>IF(C38="Deutsch","Ankerkasten mit Anker und Kette",IF(C38="English","Anchor locker with anchor and chain",IF(C38="Italiano","Cassetta dell'ancora con ancora e catena","")))</f>
        <v>Ankerkasten mit Anker und Kette</v>
      </c>
      <c r="B69" s="86"/>
      <c r="C69" s="84" t="str">
        <f>IF(C38="Deutsch","Frischwassertank",IF(C38="English","Fresh water tank",IF(C38="Italiano","Serbatoio dell'acqua dolce","")))</f>
        <v>Frischwassertank</v>
      </c>
      <c r="D69" s="92"/>
      <c r="E69" s="88" t="str">
        <f>IF(C38="Deutsch","Fender mit Festmacherleinen",IF(C38="English","Fender with mooring lines",IF(C38="Italiano","Parabordi con cime di ormeggio","")))</f>
        <v>Fender mit Festmacherleinen</v>
      </c>
      <c r="F69" s="89"/>
    </row>
    <row r="70" spans="1:10" s="19" customFormat="1" x14ac:dyDescent="0.2">
      <c r="A70" s="84" t="str">
        <f>IF(C38="Deutsch","ausklappbarer Rücksitz",IF(C38="English","Folding rear seat",IF(C38="Italiano","sedile posteriore ribaltabile","")))</f>
        <v>ausklappbarer Rücksitz</v>
      </c>
      <c r="B70" s="86"/>
      <c r="C70" s="84" t="str">
        <f>IF(C38="Deutsch","Boiler",IF(C38="English","Boiler",IF(C38="Italiano","Boiler","")))</f>
        <v>Boiler</v>
      </c>
      <c r="D70" s="93"/>
      <c r="E70" s="90" t="str">
        <f>IF(C38="Deutsch","Stauchfächer",IF(C38="English","storage compartments",IF(C38="Italiano","vano portaoggetti","")))</f>
        <v>Stauchfächer</v>
      </c>
      <c r="F70" s="89"/>
      <c r="G70" s="19" t="b">
        <v>1</v>
      </c>
    </row>
    <row r="71" spans="1:10" s="17" customFormat="1" ht="15.75" customHeight="1" x14ac:dyDescent="0.2">
      <c r="A71" s="84" t="str">
        <f>IF(C38="Deutsch","LED Getränkehalter",IF(C38="English","LED drink holder",IF(C38="Italiano","Portabevande a LED","")))</f>
        <v>LED Getränkehalter</v>
      </c>
      <c r="B71" s="86"/>
      <c r="C71" s="84" t="str">
        <f>IF(C38="Deutsch","Kraftstoffsystem",IF(C38="English","Fuel system",IF(C38="Italiano","sistema di alimentazione","")))</f>
        <v>Kraftstoffsystem</v>
      </c>
      <c r="D71" s="85"/>
      <c r="E71" s="94"/>
      <c r="F71" s="85"/>
      <c r="G71" s="17" t="b">
        <v>1</v>
      </c>
    </row>
    <row r="72" spans="1:10" s="7" customFormat="1" ht="17.25" customHeight="1" x14ac:dyDescent="0.2">
      <c r="A72" s="95" t="str">
        <f>IF(C38="Deutsch","Heckdusche",IF(C38="English","Rear shower",IF(C38="Italiano","Doccia posteriore","")))</f>
        <v>Heckdusche</v>
      </c>
      <c r="B72" s="95"/>
      <c r="C72" s="95" t="str">
        <f>IF(C38="Deutsch","Stromkabel",IF(C38="English","Power cable",IF(C38="Italiano","cavo di alimentazione","")))</f>
        <v>Stromkabel</v>
      </c>
      <c r="D72" s="96"/>
      <c r="E72" s="89"/>
      <c r="F72" s="97"/>
    </row>
    <row r="73" spans="1:10" s="50" customFormat="1" hidden="1" x14ac:dyDescent="0.2">
      <c r="A73" s="98"/>
      <c r="B73" s="99"/>
      <c r="C73" s="100"/>
      <c r="D73" s="101"/>
      <c r="E73" s="102" t="s">
        <v>20</v>
      </c>
      <c r="F73" s="103"/>
    </row>
    <row r="74" spans="1:10" s="50" customFormat="1" x14ac:dyDescent="0.2">
      <c r="A74" s="98"/>
      <c r="B74" s="99"/>
      <c r="C74" s="95" t="str">
        <f>IF(C38="Deutsch","Landstromanschluss",IF(C38="English","Shore power connection",IF(C38="Italiano","Allacciamento alla rete elettrica terrestre","")))</f>
        <v>Landstromanschluss</v>
      </c>
      <c r="D74" s="101"/>
      <c r="E74" s="104"/>
      <c r="F74" s="103"/>
    </row>
    <row r="75" spans="1:10" s="7" customFormat="1" ht="31.5" customHeight="1" x14ac:dyDescent="0.25">
      <c r="A75" s="125" t="s">
        <v>14</v>
      </c>
      <c r="B75" s="125"/>
      <c r="C75" s="125"/>
      <c r="D75" s="125"/>
      <c r="E75" s="12"/>
      <c r="F75" s="13"/>
    </row>
    <row r="76" spans="1:10" s="1" customFormat="1" ht="12.75" x14ac:dyDescent="0.2">
      <c r="A76" s="2"/>
      <c r="B76" s="3"/>
      <c r="C76" s="4"/>
    </row>
    <row r="77" spans="1:10" s="48" customFormat="1" ht="17.25" customHeight="1" x14ac:dyDescent="0.2">
      <c r="A77" s="47"/>
      <c r="B77" s="47"/>
      <c r="C77" s="47"/>
      <c r="D77" s="46" t="str">
        <f>IF(C38="Deutsch","Preis inkl. Mwst",IF(C38="English","Price without tax",IF(C38="Italiano","Prezzo senza tasse","")))</f>
        <v>Preis inkl. Mwst</v>
      </c>
      <c r="E77" s="122" t="str">
        <f>IF(C38="Deutsch","OPTION",IF(C38="English","Option",IF(C38="Italiano","Option","")))</f>
        <v>OPTION</v>
      </c>
      <c r="F77" s="112" t="str">
        <f>IF(C38="Deutsch","Auswahl",IF(C38="English","selection",IF(C38="Italiano","Selezione","")))</f>
        <v>Auswahl</v>
      </c>
      <c r="H77" s="58" t="s">
        <v>6</v>
      </c>
      <c r="I77" s="58" t="s">
        <v>7</v>
      </c>
    </row>
    <row r="78" spans="1:10" s="17" customFormat="1" ht="17.25" customHeight="1" x14ac:dyDescent="0.2">
      <c r="A78" s="75" t="str">
        <f>IF(C38="Deutsch","3 x Yamaha Außenborder XF/LXF450XSA2, 3x 450PS ",IF(C38="English","2 x Yamaha XF/LXF450XSA2 outboard motors, 3x 450hp",IF(C38="Italiano","2 motori fuoribordo Yamaha XF/LXF450XSA2, 3x 450CV","")))</f>
        <v xml:space="preserve">3 x Yamaha Außenborder XF/LXF450XSA2, 3x 450PS </v>
      </c>
      <c r="B78" s="85"/>
      <c r="C78" s="75"/>
      <c r="D78" s="105" t="str">
        <f>IF($C$38="Deutsch",H78,IF($C$38="English",I78,IF($C$38="Italiano",J78,"")))</f>
        <v>auf Anfrage</v>
      </c>
      <c r="E78" s="34"/>
      <c r="F78" s="18">
        <f>IF(G78=TRUE,D78,0)</f>
        <v>0</v>
      </c>
      <c r="G78" s="16" t="b">
        <v>0</v>
      </c>
      <c r="H78" s="53" t="s">
        <v>2</v>
      </c>
      <c r="I78" s="53" t="s">
        <v>8</v>
      </c>
      <c r="J78" s="52" t="s">
        <v>9</v>
      </c>
    </row>
    <row r="79" spans="1:10" s="17" customFormat="1" ht="17.25" customHeight="1" x14ac:dyDescent="0.2">
      <c r="A79" s="75"/>
      <c r="B79" s="85"/>
      <c r="C79" s="75"/>
      <c r="D79" s="105"/>
      <c r="E79" s="34"/>
      <c r="F79" s="35"/>
      <c r="G79" s="16"/>
      <c r="H79" s="53"/>
      <c r="I79" s="53"/>
      <c r="J79" s="52"/>
    </row>
    <row r="80" spans="1:10" s="17" customFormat="1" ht="17.25" customHeight="1" x14ac:dyDescent="0.2">
      <c r="A80" s="106"/>
      <c r="B80" s="85"/>
      <c r="C80" s="76"/>
      <c r="D80" s="105"/>
      <c r="E80" s="34"/>
      <c r="F80" s="35"/>
      <c r="G80" s="16" t="b">
        <v>1</v>
      </c>
      <c r="H80" s="53"/>
      <c r="I80" s="53"/>
      <c r="J80" s="52"/>
    </row>
    <row r="81" spans="1:11" s="17" customFormat="1" ht="17.25" customHeight="1" x14ac:dyDescent="0.2">
      <c r="A81" s="75"/>
      <c r="B81" s="85"/>
      <c r="C81" s="76"/>
      <c r="D81" s="105"/>
      <c r="E81" s="34"/>
      <c r="F81" s="35"/>
      <c r="G81" s="16"/>
      <c r="H81" s="53"/>
      <c r="I81" s="53"/>
      <c r="J81" s="52"/>
    </row>
    <row r="82" spans="1:11" s="17" customFormat="1" ht="17.25" customHeight="1" x14ac:dyDescent="0.2">
      <c r="A82" s="75"/>
      <c r="B82" s="85"/>
      <c r="C82" s="85"/>
      <c r="D82" s="107"/>
      <c r="E82" s="34"/>
      <c r="F82" s="35"/>
      <c r="G82" s="16"/>
      <c r="H82" s="18"/>
      <c r="I82" s="18"/>
    </row>
    <row r="83" spans="1:11" s="7" customFormat="1" ht="33.75" customHeight="1" x14ac:dyDescent="0.2">
      <c r="A83" s="123" t="s">
        <v>14</v>
      </c>
      <c r="B83" s="123"/>
      <c r="C83" s="123"/>
      <c r="D83" s="123"/>
      <c r="E83" s="20"/>
      <c r="F83" s="20"/>
      <c r="G83" s="7" t="b">
        <v>1</v>
      </c>
      <c r="I83" s="18"/>
    </row>
    <row r="84" spans="1:11" s="7" customFormat="1" ht="0.75" customHeight="1" x14ac:dyDescent="0.2">
      <c r="A84" s="108"/>
      <c r="B84" s="109"/>
      <c r="C84" s="61"/>
      <c r="D84" s="61"/>
      <c r="I84" s="18"/>
    </row>
    <row r="85" spans="1:11" s="1" customFormat="1" ht="12.75" x14ac:dyDescent="0.2">
      <c r="A85" s="66"/>
      <c r="B85" s="67"/>
      <c r="C85" s="68"/>
      <c r="D85" s="69"/>
      <c r="I85" s="18"/>
    </row>
    <row r="86" spans="1:11" s="7" customFormat="1" ht="17.25" customHeight="1" x14ac:dyDescent="0.2">
      <c r="A86" s="110" t="str">
        <f>IF(C38="Deutsch","zusätzliche Ausstattung",IF(C38="English","additional equipment",IF(C38="Italiano","dotazione aggiuntiva","")))</f>
        <v>zusätzliche Ausstattung</v>
      </c>
      <c r="B86" s="111"/>
      <c r="C86" s="111"/>
      <c r="D86" s="112" t="str">
        <f>IF(C38="Deutsch","Preis inkl. Mwst",IF(C38="English","Price without tax",IF(C38="Italiano","Prezzo senza tasse","")))</f>
        <v>Preis inkl. Mwst</v>
      </c>
      <c r="E86" s="122" t="str">
        <f>IF(C38="Deutsch","OPTION",IF(C38="English","Option",IF(C38="Italiano","Option","")))</f>
        <v>OPTION</v>
      </c>
      <c r="F86" s="112" t="str">
        <f>IF(C38="Deutsch","Auswahl",IF(C38="English","selection",IF(C38="Italiano","Selezione","")))</f>
        <v>Auswahl</v>
      </c>
      <c r="I86" s="18"/>
    </row>
    <row r="87" spans="1:11" s="7" customFormat="1" ht="17.25" customHeight="1" x14ac:dyDescent="0.2">
      <c r="A87" s="106" t="str">
        <f>IF(C38="Deutsch","Fernseher LED 24 in Kabine",IF(C38="English","24 LED TV in cabin",IF(C38="Italiano","TV LED 24 in cabina","")))</f>
        <v>Fernseher LED 24 in Kabine</v>
      </c>
      <c r="B87" s="75"/>
      <c r="C87" s="61"/>
      <c r="D87" s="105" t="str">
        <f>IF($C$38="Deutsch",H87,IF($C$38="English",I87,IF($C$38="Italiano",J87,"")))</f>
        <v>auf Anfrage</v>
      </c>
      <c r="E87" s="37"/>
      <c r="F87" s="24">
        <f>IF(G87=TRUE,D87,0)</f>
        <v>0</v>
      </c>
      <c r="G87" s="21" t="b">
        <v>0</v>
      </c>
      <c r="H87" s="53" t="s">
        <v>2</v>
      </c>
      <c r="I87" s="53" t="s">
        <v>8</v>
      </c>
      <c r="J87" s="52" t="s">
        <v>9</v>
      </c>
      <c r="K87" s="51"/>
    </row>
    <row r="88" spans="1:11" s="7" customFormat="1" ht="17.25" customHeight="1" x14ac:dyDescent="0.2">
      <c r="A88" s="106" t="str">
        <f>IF(C38="Deutsch","Professional Audio HIFI System Hertz (RGB)",IF(C38="English","Professional Audio HIFI System Hertz (RGB)",IF(C38="Italiano","Sistema audio professionale HIFI Hertz (RGB)","")))</f>
        <v>Professional Audio HIFI System Hertz (RGB)</v>
      </c>
      <c r="B88" s="75"/>
      <c r="C88" s="85"/>
      <c r="D88" s="105" t="str">
        <f t="shared" ref="D88:D110" si="0">IF($C$38="Deutsch",H88,IF($C$38="English",I88,IF($C$38="Italiano",J88,"")))</f>
        <v>auf Anfrage</v>
      </c>
      <c r="E88" s="37"/>
      <c r="F88" s="24">
        <f t="shared" ref="F88:F109" si="1">IF(G88=TRUE,D88,0)</f>
        <v>0</v>
      </c>
      <c r="G88" s="21" t="b">
        <v>0</v>
      </c>
      <c r="H88" s="53" t="s">
        <v>2</v>
      </c>
      <c r="I88" s="53" t="s">
        <v>8</v>
      </c>
      <c r="J88" s="52" t="s">
        <v>9</v>
      </c>
    </row>
    <row r="89" spans="1:11" s="7" customFormat="1" ht="17.25" customHeight="1" x14ac:dyDescent="0.2">
      <c r="A89" s="106" t="str">
        <f>IF(C38="Deutsch","Kühlschrank 12V in Kabine",IF(C38="English","12V Refrigerator in cabin",IF(C38="Italiano","Frigorifero 12V in cabina","")))</f>
        <v>Kühlschrank 12V in Kabine</v>
      </c>
      <c r="B89" s="75"/>
      <c r="C89" s="61"/>
      <c r="D89" s="105" t="str">
        <f t="shared" si="0"/>
        <v>auf Anfrage</v>
      </c>
      <c r="E89" s="37"/>
      <c r="F89" s="24">
        <f t="shared" si="1"/>
        <v>0</v>
      </c>
      <c r="G89" s="21" t="b">
        <v>0</v>
      </c>
      <c r="H89" s="53" t="s">
        <v>2</v>
      </c>
      <c r="I89" s="53" t="s">
        <v>8</v>
      </c>
      <c r="J89" s="52" t="s">
        <v>9</v>
      </c>
    </row>
    <row r="90" spans="1:11" s="7" customFormat="1" ht="17.25" customHeight="1" x14ac:dyDescent="0.2">
      <c r="A90" s="106" t="str">
        <f>IF(C38="Deutsch","Elektrische Toilette",IF(C38="English","Electric toilet",IF(C38="Italiano","WC elettrico","")))</f>
        <v>Elektrische Toilette</v>
      </c>
      <c r="B90" s="75"/>
      <c r="C90" s="61"/>
      <c r="D90" s="105" t="str">
        <f t="shared" si="0"/>
        <v>auf Anfrage</v>
      </c>
      <c r="E90" s="37"/>
      <c r="F90" s="24">
        <f t="shared" si="1"/>
        <v>0</v>
      </c>
      <c r="G90" s="21" t="b">
        <v>0</v>
      </c>
      <c r="H90" s="53" t="s">
        <v>2</v>
      </c>
      <c r="I90" s="53" t="s">
        <v>8</v>
      </c>
      <c r="J90" s="52" t="s">
        <v>9</v>
      </c>
    </row>
    <row r="91" spans="1:11" s="7" customFormat="1" ht="17.25" customHeight="1" x14ac:dyDescent="0.2">
      <c r="A91" s="106" t="str">
        <f>IF(C38="Deutsch","Elektrische Toilette m. Zerkleinerer",IF(C38="English","Electric toilet with shredder",IF(C38="Italiano","WC elettrico con trituratore","")))</f>
        <v>Elektrische Toilette m. Zerkleinerer</v>
      </c>
      <c r="B91" s="75"/>
      <c r="C91" s="61"/>
      <c r="D91" s="105" t="str">
        <f t="shared" si="0"/>
        <v>auf Anfrage</v>
      </c>
      <c r="E91" s="37"/>
      <c r="F91" s="24">
        <f t="shared" ref="F91:F92" si="2">IF(G91=TRUE,D91,0)</f>
        <v>0</v>
      </c>
      <c r="G91" s="21" t="b">
        <v>0</v>
      </c>
      <c r="H91" s="53" t="s">
        <v>2</v>
      </c>
      <c r="I91" s="53" t="s">
        <v>8</v>
      </c>
      <c r="J91" s="52" t="s">
        <v>9</v>
      </c>
    </row>
    <row r="92" spans="1:11" s="7" customFormat="1" ht="17.25" customHeight="1" x14ac:dyDescent="0.2">
      <c r="A92" s="106" t="str">
        <f>IF(C38="Deutsch","Abwasserpaket",IF(C38="English","wastewater package",IF(C38="Italiano","pacchetto acque reflue","")))</f>
        <v>Abwasserpaket</v>
      </c>
      <c r="B92" s="75"/>
      <c r="C92" s="61"/>
      <c r="D92" s="105" t="str">
        <f t="shared" si="0"/>
        <v>auf Anfrage</v>
      </c>
      <c r="E92" s="37"/>
      <c r="F92" s="24">
        <f t="shared" si="2"/>
        <v>0</v>
      </c>
      <c r="G92" s="21" t="b">
        <v>0</v>
      </c>
      <c r="H92" s="53" t="s">
        <v>2</v>
      </c>
      <c r="I92" s="53" t="s">
        <v>8</v>
      </c>
      <c r="J92" s="52" t="s">
        <v>9</v>
      </c>
    </row>
    <row r="93" spans="1:11" s="7" customFormat="1" ht="17.25" customHeight="1" x14ac:dyDescent="0.2">
      <c r="A93" s="106" t="str">
        <f>IF(C38="Deutsch","Trimmsystem automatisch (ZipWake)",IF(C38="English","Automatic trim system (ZipWake)",IF(C38="Italiano","Sistema di assetto automatico (ZipWake)","")))</f>
        <v>Trimmsystem automatisch (ZipWake)</v>
      </c>
      <c r="B93" s="75"/>
      <c r="C93" s="61"/>
      <c r="D93" s="105" t="str">
        <f t="shared" si="0"/>
        <v>auf Anfrage</v>
      </c>
      <c r="E93" s="37"/>
      <c r="F93" s="24">
        <f t="shared" si="1"/>
        <v>0</v>
      </c>
      <c r="G93" s="21" t="b">
        <v>0</v>
      </c>
      <c r="H93" s="53" t="s">
        <v>2</v>
      </c>
      <c r="I93" s="53" t="s">
        <v>8</v>
      </c>
      <c r="J93" s="52" t="s">
        <v>9</v>
      </c>
    </row>
    <row r="94" spans="1:11" s="7" customFormat="1" ht="17.25" customHeight="1" x14ac:dyDescent="0.2">
      <c r="A94" s="106" t="str">
        <f>IF(C38="Deutsch","Bugstrahlruder",IF(C38="English","Bow thruster",IF(C38="Italiano","propulsore di prua","")))</f>
        <v>Bugstrahlruder</v>
      </c>
      <c r="B94" s="75"/>
      <c r="C94" s="61"/>
      <c r="D94" s="105" t="str">
        <f t="shared" si="0"/>
        <v>auf Anfrage</v>
      </c>
      <c r="E94" s="37"/>
      <c r="F94" s="24">
        <f t="shared" si="1"/>
        <v>0</v>
      </c>
      <c r="G94" s="21" t="b">
        <v>0</v>
      </c>
      <c r="H94" s="53" t="s">
        <v>2</v>
      </c>
      <c r="I94" s="53" t="s">
        <v>8</v>
      </c>
      <c r="J94" s="52" t="s">
        <v>9</v>
      </c>
    </row>
    <row r="95" spans="1:11" s="7" customFormat="1" ht="17.25" customHeight="1" x14ac:dyDescent="0.2">
      <c r="A95" s="106" t="str">
        <f>IF(C38="Deutsch","Elektrische Ankerwinde",IF(C38="English","Electric anchor winch",IF(C38="Italiano","Verricello elettrico","")))</f>
        <v>Elektrische Ankerwinde</v>
      </c>
      <c r="B95" s="75"/>
      <c r="C95" s="61"/>
      <c r="D95" s="105" t="str">
        <f t="shared" si="0"/>
        <v>auf Anfrage</v>
      </c>
      <c r="E95" s="37"/>
      <c r="F95" s="24">
        <f t="shared" si="1"/>
        <v>0</v>
      </c>
      <c r="G95" s="21" t="b">
        <v>0</v>
      </c>
      <c r="H95" s="53" t="s">
        <v>2</v>
      </c>
      <c r="I95" s="53" t="s">
        <v>8</v>
      </c>
      <c r="J95" s="52" t="s">
        <v>9</v>
      </c>
    </row>
    <row r="96" spans="1:11" s="7" customFormat="1" ht="17.25" customHeight="1" x14ac:dyDescent="0.2">
      <c r="A96" s="106" t="str">
        <f>IF(C38="Deutsch","Kamerasystem Eagle Marine",IF(C38="English","Eagle Marine camera system",IF(C38="Italiano","Sistema di telecamere Eagle Marine","")))</f>
        <v>Kamerasystem Eagle Marine</v>
      </c>
      <c r="B96" s="75"/>
      <c r="C96" s="61"/>
      <c r="D96" s="105" t="str">
        <f t="shared" si="0"/>
        <v>auf Anfrage</v>
      </c>
      <c r="E96" s="37"/>
      <c r="F96" s="24">
        <f t="shared" si="1"/>
        <v>0</v>
      </c>
      <c r="G96" s="21" t="b">
        <v>0</v>
      </c>
      <c r="H96" s="53" t="s">
        <v>2</v>
      </c>
      <c r="I96" s="53" t="s">
        <v>8</v>
      </c>
      <c r="J96" s="52" t="s">
        <v>9</v>
      </c>
    </row>
    <row r="97" spans="1:10" s="7" customFormat="1" ht="17.25" customHeight="1" x14ac:dyDescent="0.2">
      <c r="A97" s="106" t="str">
        <f>IF(C38="Deutsch","Unterwaserbeleuchtung mehrfarbig",IF(C38="English","Underwater lighting, multicolor",IF(C38="Italiano","Illuminazione subacquea multicolore","")))</f>
        <v>Unterwaserbeleuchtung mehrfarbig</v>
      </c>
      <c r="B97" s="75"/>
      <c r="C97" s="61"/>
      <c r="D97" s="105" t="str">
        <f t="shared" si="0"/>
        <v>auf Anfrage</v>
      </c>
      <c r="E97" s="37"/>
      <c r="F97" s="24">
        <f t="shared" si="1"/>
        <v>0</v>
      </c>
      <c r="G97" s="21" t="b">
        <v>0</v>
      </c>
      <c r="H97" s="53" t="s">
        <v>2</v>
      </c>
      <c r="I97" s="53" t="s">
        <v>8</v>
      </c>
      <c r="J97" s="52" t="s">
        <v>9</v>
      </c>
    </row>
    <row r="98" spans="1:10" s="7" customFormat="1" ht="17.25" customHeight="1" x14ac:dyDescent="0.2">
      <c r="A98" s="106" t="str">
        <f>IF(C38="Deutsch","Cockpitbeleuchtung mehrfarbig",IF(C38="English","cockpit lighting, multicolor",IF(C38="Italiano","Illuminazione multicolore della cabina di pilotaggio","")))</f>
        <v>Cockpitbeleuchtung mehrfarbig</v>
      </c>
      <c r="B98" s="106"/>
      <c r="C98" s="61"/>
      <c r="D98" s="105" t="str">
        <f t="shared" si="0"/>
        <v>auf Anfrage</v>
      </c>
      <c r="E98" s="37"/>
      <c r="F98" s="24">
        <f t="shared" ref="F98:F102" si="3">IF(G98=TRUE,D98,0)</f>
        <v>0</v>
      </c>
      <c r="G98" s="21" t="b">
        <v>0</v>
      </c>
      <c r="H98" s="53" t="s">
        <v>2</v>
      </c>
      <c r="I98" s="53" t="s">
        <v>8</v>
      </c>
      <c r="J98" s="52" t="s">
        <v>9</v>
      </c>
    </row>
    <row r="99" spans="1:10" s="7" customFormat="1" ht="17.25" customHeight="1" x14ac:dyDescent="0.2">
      <c r="A99" s="106" t="str">
        <f>IF(C38="Deutsch","Radar",IF(C38="English","Radar",IF(C38="Italiano","Radar","")))</f>
        <v>Radar</v>
      </c>
      <c r="B99" s="106"/>
      <c r="C99" s="61"/>
      <c r="D99" s="105" t="str">
        <f t="shared" si="0"/>
        <v>auf Anfrage</v>
      </c>
      <c r="E99" s="37"/>
      <c r="F99" s="24">
        <f t="shared" si="3"/>
        <v>0</v>
      </c>
      <c r="G99" s="21" t="b">
        <v>0</v>
      </c>
      <c r="H99" s="53" t="s">
        <v>2</v>
      </c>
      <c r="I99" s="53" t="s">
        <v>8</v>
      </c>
      <c r="J99" s="52" t="s">
        <v>9</v>
      </c>
    </row>
    <row r="100" spans="1:10" s="7" customFormat="1" ht="17.25" customHeight="1" x14ac:dyDescent="0.2">
      <c r="A100" s="106" t="str">
        <f>IF(C38="Deutsch","Sea Keeper",IF(C38="English","Sea Keeper",IF(C38="Italiano","Sea Keeper","")))</f>
        <v>Sea Keeper</v>
      </c>
      <c r="B100" s="106"/>
      <c r="C100" s="61"/>
      <c r="D100" s="105" t="str">
        <f t="shared" si="0"/>
        <v>auf Anfrage</v>
      </c>
      <c r="E100" s="37"/>
      <c r="F100" s="24">
        <f t="shared" si="3"/>
        <v>0</v>
      </c>
      <c r="G100" s="21" t="b">
        <v>0</v>
      </c>
      <c r="H100" s="53" t="s">
        <v>2</v>
      </c>
      <c r="I100" s="53" t="s">
        <v>8</v>
      </c>
      <c r="J100" s="52" t="s">
        <v>9</v>
      </c>
    </row>
    <row r="101" spans="1:10" s="7" customFormat="1" ht="17.25" customHeight="1" x14ac:dyDescent="0.2">
      <c r="A101" s="106" t="str">
        <f>IF(C38="Deutsch","hydraulische Gangway",IF(C38="English","hydraulic gangway",IF(C38="Italiano","passerella idraulica","")))</f>
        <v>hydraulische Gangway</v>
      </c>
      <c r="B101" s="113"/>
      <c r="C101" s="61"/>
      <c r="D101" s="105" t="str">
        <f t="shared" si="0"/>
        <v>auf Anfrage</v>
      </c>
      <c r="E101" s="37"/>
      <c r="F101" s="24">
        <f t="shared" si="3"/>
        <v>0</v>
      </c>
      <c r="G101" s="21" t="b">
        <v>0</v>
      </c>
      <c r="H101" s="53" t="s">
        <v>2</v>
      </c>
      <c r="I101" s="53" t="s">
        <v>8</v>
      </c>
      <c r="J101" s="52" t="s">
        <v>9</v>
      </c>
    </row>
    <row r="102" spans="1:10" s="7" customFormat="1" ht="17.25" customHeight="1" x14ac:dyDescent="0.2">
      <c r="A102" s="106" t="str">
        <f>IF(C38="Deutsch","hydraulische Badeplattform",IF(C38="English","hydraulic bathing platform",IF(C38="Italiano","piattaforma da bagno idraulica","")))</f>
        <v>hydraulische Badeplattform</v>
      </c>
      <c r="B102" s="85"/>
      <c r="C102" s="61"/>
      <c r="D102" s="105" t="str">
        <f t="shared" si="0"/>
        <v>auf Anfrage</v>
      </c>
      <c r="E102" s="37"/>
      <c r="F102" s="24">
        <f t="shared" si="3"/>
        <v>0</v>
      </c>
      <c r="G102" s="21" t="b">
        <v>0</v>
      </c>
      <c r="H102" s="53" t="s">
        <v>2</v>
      </c>
      <c r="I102" s="53" t="s">
        <v>8</v>
      </c>
      <c r="J102" s="52" t="s">
        <v>9</v>
      </c>
    </row>
    <row r="103" spans="1:10" s="7" customFormat="1" ht="17.25" customHeight="1" x14ac:dyDescent="0.2">
      <c r="A103" s="106" t="str">
        <f>IF(C38="Deutsch","Klimaanlage 230V",IF(C38="English","Air conditioning 230V",IF(C38="Italiano","Aria condizionata 230V","")))</f>
        <v>Klimaanlage 230V</v>
      </c>
      <c r="B103" s="75"/>
      <c r="C103" s="61"/>
      <c r="D103" s="105" t="str">
        <f t="shared" si="0"/>
        <v>auf Anfrage</v>
      </c>
      <c r="E103" s="37"/>
      <c r="F103" s="24">
        <f t="shared" si="1"/>
        <v>0</v>
      </c>
      <c r="G103" s="21" t="b">
        <v>0</v>
      </c>
      <c r="H103" s="53" t="s">
        <v>2</v>
      </c>
      <c r="I103" s="53" t="s">
        <v>8</v>
      </c>
      <c r="J103" s="52" t="s">
        <v>9</v>
      </c>
    </row>
    <row r="104" spans="1:10" s="7" customFormat="1" ht="17.25" customHeight="1" x14ac:dyDescent="0.2">
      <c r="A104" s="106" t="str">
        <f>IF(C38="Deutsch","Generator 3KW",IF(C38="English","3KW generator",IF(C38="Italiano","Generatore 3KW","")))</f>
        <v>Generator 3KW</v>
      </c>
      <c r="B104" s="75"/>
      <c r="C104" s="61"/>
      <c r="D104" s="105" t="str">
        <f t="shared" si="0"/>
        <v>auf Anfrage</v>
      </c>
      <c r="E104" s="37"/>
      <c r="F104" s="24">
        <f t="shared" si="1"/>
        <v>0</v>
      </c>
      <c r="G104" s="21" t="b">
        <v>0</v>
      </c>
      <c r="H104" s="53" t="s">
        <v>2</v>
      </c>
      <c r="I104" s="53" t="s">
        <v>8</v>
      </c>
      <c r="J104" s="52" t="s">
        <v>9</v>
      </c>
    </row>
    <row r="105" spans="1:10" s="7" customFormat="1" ht="17.25" customHeight="1" x14ac:dyDescent="0.2">
      <c r="A105" s="106" t="str">
        <f>IF(C38="Deutsch","Antifouling / Unterwasseranstrich",IF(C38="English","Antifouling / Underwater coating",IF(C38="Italiano","Antivegetativa / Vernice subacquea","")))</f>
        <v>Antifouling / Unterwasseranstrich</v>
      </c>
      <c r="B105" s="75"/>
      <c r="C105" s="61"/>
      <c r="D105" s="105" t="str">
        <f t="shared" si="0"/>
        <v>auf Anfrage</v>
      </c>
      <c r="E105" s="37"/>
      <c r="F105" s="24">
        <f t="shared" si="1"/>
        <v>0</v>
      </c>
      <c r="G105" s="21" t="b">
        <v>0</v>
      </c>
      <c r="H105" s="53" t="s">
        <v>2</v>
      </c>
      <c r="I105" s="53" t="s">
        <v>8</v>
      </c>
      <c r="J105" s="52" t="s">
        <v>9</v>
      </c>
    </row>
    <row r="106" spans="1:10" s="7" customFormat="1" ht="17.25" customHeight="1" x14ac:dyDescent="0.2">
      <c r="A106" s="106" t="str">
        <f>IF(C38="Deutsch","Jalousien Set",IF(C38="English","Blinds set",IF(C38="Italiano","Set di tende veneziane","")))</f>
        <v>Jalousien Set</v>
      </c>
      <c r="B106" s="75"/>
      <c r="C106" s="61"/>
      <c r="D106" s="105" t="str">
        <f t="shared" si="0"/>
        <v>auf Anfrage</v>
      </c>
      <c r="E106" s="37"/>
      <c r="F106" s="24">
        <f t="shared" si="1"/>
        <v>0</v>
      </c>
      <c r="G106" s="21" t="b">
        <v>0</v>
      </c>
      <c r="H106" s="53" t="s">
        <v>2</v>
      </c>
      <c r="I106" s="53" t="s">
        <v>8</v>
      </c>
      <c r="J106" s="52" t="s">
        <v>9</v>
      </c>
    </row>
    <row r="107" spans="1:10" s="7" customFormat="1" ht="17.25" customHeight="1" x14ac:dyDescent="0.2">
      <c r="A107" s="106" t="str">
        <f>IF(C38="Deutsch","T-Top mit RGB Beleuchtung",IF(C38="English","T-top with RGB lighting",IF(C38="Italiano","T-Top con illuminazione RGB","")))</f>
        <v>T-Top mit RGB Beleuchtung</v>
      </c>
      <c r="B107" s="75"/>
      <c r="C107" s="61"/>
      <c r="D107" s="105" t="str">
        <f t="shared" si="0"/>
        <v>auf Anfrage</v>
      </c>
      <c r="E107" s="37"/>
      <c r="F107" s="24">
        <f t="shared" si="1"/>
        <v>0</v>
      </c>
      <c r="G107" s="21" t="b">
        <v>0</v>
      </c>
      <c r="H107" s="53" t="s">
        <v>2</v>
      </c>
      <c r="I107" s="53" t="s">
        <v>8</v>
      </c>
      <c r="J107" s="52" t="s">
        <v>9</v>
      </c>
    </row>
    <row r="108" spans="1:10" s="7" customFormat="1" ht="17.25" customHeight="1" x14ac:dyDescent="0.2">
      <c r="A108" s="106" t="str">
        <f>IF(C38="Deutsch","Kühlschrank im Cockpit, 20 l",IF(C38="English","Refrigerator in cockpit, 20 l",IF(C38="Italiano","Frigorifero nella cabina di pilotaggio, 20 l","")))</f>
        <v>Kühlschrank im Cockpit, 20 l</v>
      </c>
      <c r="B108" s="75"/>
      <c r="C108" s="61"/>
      <c r="D108" s="105" t="str">
        <f t="shared" si="0"/>
        <v>auf Anfrage</v>
      </c>
      <c r="E108" s="37"/>
      <c r="F108" s="24">
        <f t="shared" si="1"/>
        <v>0</v>
      </c>
      <c r="G108" s="21" t="b">
        <v>0</v>
      </c>
      <c r="H108" s="53" t="s">
        <v>2</v>
      </c>
      <c r="I108" s="53" t="s">
        <v>8</v>
      </c>
      <c r="J108" s="52" t="s">
        <v>9</v>
      </c>
    </row>
    <row r="109" spans="1:10" s="7" customFormat="1" ht="17.25" customHeight="1" x14ac:dyDescent="0.2">
      <c r="A109" s="106" t="str">
        <f>IF(C38="Deutsch","Transport-/Winterverdeck",IF(C38="English","Transport/winter cover",IF(C38="Italiano","Copertura per il trasporto/invernale","")))</f>
        <v>Transport-/Winterverdeck</v>
      </c>
      <c r="B109" s="75"/>
      <c r="C109" s="61"/>
      <c r="D109" s="105" t="str">
        <f t="shared" si="0"/>
        <v>auf Anfrage</v>
      </c>
      <c r="E109" s="37"/>
      <c r="F109" s="24">
        <f t="shared" si="1"/>
        <v>0</v>
      </c>
      <c r="G109" s="21" t="b">
        <v>0</v>
      </c>
      <c r="H109" s="53" t="s">
        <v>2</v>
      </c>
      <c r="I109" s="53" t="s">
        <v>8</v>
      </c>
      <c r="J109" s="52" t="s">
        <v>9</v>
      </c>
    </row>
    <row r="110" spans="1:10" s="7" customFormat="1" ht="17.25" customHeight="1" x14ac:dyDescent="0.2">
      <c r="A110" s="106" t="str">
        <f>IF(C38="Deutsch","zusätzlicher Benzintank + 100 ltr.",IF(C38="English","Additional fuel tank + 100 liters.",IF(C38="Italiano","Serbatoio carburante supplementare + 100 litri.","")))</f>
        <v>zusätzlicher Benzintank + 100 ltr.</v>
      </c>
      <c r="B110" s="75"/>
      <c r="C110" s="61"/>
      <c r="D110" s="105" t="str">
        <f t="shared" si="0"/>
        <v>auf Anfrage</v>
      </c>
      <c r="E110" s="37"/>
      <c r="F110" s="24">
        <f t="shared" ref="F110" si="4">IF(G110=TRUE,D110,0)</f>
        <v>0</v>
      </c>
      <c r="G110" s="21" t="b">
        <v>0</v>
      </c>
      <c r="H110" s="53" t="s">
        <v>2</v>
      </c>
      <c r="I110" s="53" t="s">
        <v>8</v>
      </c>
      <c r="J110" s="52" t="s">
        <v>9</v>
      </c>
    </row>
    <row r="111" spans="1:10" s="7" customFormat="1" ht="17.25" customHeight="1" x14ac:dyDescent="0.2">
      <c r="A111" s="106" t="str">
        <f>IF(C38="Deutsch","Flexi-Teak",IF(C38="English","Flexi-Teak",IF(C38="Italiano","Flexi-Teak","")))</f>
        <v>Flexi-Teak</v>
      </c>
      <c r="B111" s="75"/>
      <c r="C111" s="61"/>
      <c r="D111" s="105" t="str">
        <f>IF($C$38="Deutsch",H111,IF($C$38="English",I111,IF($C$38="Italiano",J111,"")))</f>
        <v>auf Anfrage</v>
      </c>
      <c r="E111" s="37"/>
      <c r="F111" s="24">
        <f t="shared" ref="F111:F128" si="5">IF(G111=TRUE,D111,0)</f>
        <v>0</v>
      </c>
      <c r="G111" s="21" t="b">
        <v>0</v>
      </c>
      <c r="H111" s="53" t="s">
        <v>2</v>
      </c>
      <c r="I111" s="53" t="s">
        <v>8</v>
      </c>
      <c r="J111" s="52" t="s">
        <v>9</v>
      </c>
    </row>
    <row r="112" spans="1:10" s="7" customFormat="1" ht="17.25" customHeight="1" x14ac:dyDescent="0.2">
      <c r="A112" s="106" t="str">
        <f>IF(C38="Deutsch","Fernstart-/Stopp-System für den Motor",IF(C38="English","Remote start/stop system for the engine",IF(C38="Italiano","Sistema di avvio/arresto remoto del motore","")))</f>
        <v>Fernstart-/Stopp-System für den Motor</v>
      </c>
      <c r="B112" s="75"/>
      <c r="C112" s="61"/>
      <c r="D112" s="105" t="str">
        <f t="shared" ref="D112:D119" si="6">IF($C$38="Deutsch",H112,IF($C$38="English",I112,IF($C$38="Italiano",J112,"")))</f>
        <v>auf Anfrage</v>
      </c>
      <c r="E112" s="37"/>
      <c r="F112" s="24">
        <f t="shared" si="5"/>
        <v>0</v>
      </c>
      <c r="G112" s="21" t="b">
        <v>0</v>
      </c>
      <c r="H112" s="53" t="s">
        <v>2</v>
      </c>
      <c r="I112" s="53" t="s">
        <v>8</v>
      </c>
      <c r="J112" s="52" t="s">
        <v>9</v>
      </c>
    </row>
    <row r="113" spans="1:10" s="7" customFormat="1" ht="17.25" customHeight="1" x14ac:dyDescent="0.2">
      <c r="A113" s="106" t="str">
        <f>IF(C38="Deutsch","Frischwasser-Motorspülung",IF(C38="English","Fresh water engine flush",IF(C38="Italiano","Lavaggio motore con acqua fresca","")))</f>
        <v>Frischwasser-Motorspülung</v>
      </c>
      <c r="B113" s="75"/>
      <c r="C113" s="61"/>
      <c r="D113" s="105" t="str">
        <f t="shared" si="6"/>
        <v>auf Anfrage</v>
      </c>
      <c r="E113" s="37"/>
      <c r="F113" s="24">
        <f t="shared" si="5"/>
        <v>0</v>
      </c>
      <c r="G113" s="21" t="b">
        <v>0</v>
      </c>
      <c r="H113" s="53" t="s">
        <v>2</v>
      </c>
      <c r="I113" s="53" t="s">
        <v>8</v>
      </c>
      <c r="J113" s="52" t="s">
        <v>9</v>
      </c>
    </row>
    <row r="114" spans="1:10" s="7" customFormat="1" ht="17.25" customHeight="1" x14ac:dyDescent="0.2">
      <c r="A114" s="106" t="str">
        <f>IF(C38="Deutsch","Sonderlenkrad",IF(C38="English","Special steering wheel",IF(C38="Italiano","Volante speciale","")))</f>
        <v>Sonderlenkrad</v>
      </c>
      <c r="B114" s="75"/>
      <c r="C114" s="61"/>
      <c r="D114" s="105" t="str">
        <f t="shared" si="6"/>
        <v>auf Anfrage</v>
      </c>
      <c r="E114" s="37"/>
      <c r="F114" s="24">
        <f t="shared" si="5"/>
        <v>0</v>
      </c>
      <c r="G114" s="21" t="b">
        <v>0</v>
      </c>
      <c r="H114" s="53" t="s">
        <v>2</v>
      </c>
      <c r="I114" s="53" t="s">
        <v>8</v>
      </c>
      <c r="J114" s="52" t="s">
        <v>9</v>
      </c>
    </row>
    <row r="115" spans="1:10" s="7" customFormat="1" ht="17.25" customHeight="1" x14ac:dyDescent="0.2">
      <c r="A115" s="106" t="str">
        <f>IF(C38="Deutsch","Autopilot",IF(C38="English","Autopilot",IF(C38="Italiano","Autopilot","")))</f>
        <v>Autopilot</v>
      </c>
      <c r="B115" s="75"/>
      <c r="C115" s="61"/>
      <c r="D115" s="105" t="str">
        <f t="shared" si="6"/>
        <v>auf Anfrage</v>
      </c>
      <c r="E115" s="37"/>
      <c r="F115" s="24">
        <f t="shared" si="5"/>
        <v>0</v>
      </c>
      <c r="G115" s="21" t="b">
        <v>0</v>
      </c>
      <c r="H115" s="53" t="s">
        <v>2</v>
      </c>
      <c r="I115" s="53" t="s">
        <v>8</v>
      </c>
      <c r="J115" s="52" t="s">
        <v>9</v>
      </c>
    </row>
    <row r="116" spans="1:10" s="7" customFormat="1" ht="17.25" customHeight="1" x14ac:dyDescent="0.2">
      <c r="A116" s="106" t="str">
        <f>IF(C38="Deutsch","Plotter 22"" (3)",IF(C38="English","Plotter 22"" (3)",IF(C38="Italiano","Plotter 22"" (3)","")))</f>
        <v>Plotter 22" (3)</v>
      </c>
      <c r="B116" s="75"/>
      <c r="C116" s="61"/>
      <c r="D116" s="105" t="str">
        <f t="shared" si="6"/>
        <v>auf Anfrage</v>
      </c>
      <c r="E116" s="37"/>
      <c r="F116" s="24">
        <f t="shared" si="5"/>
        <v>0</v>
      </c>
      <c r="G116" s="21" t="b">
        <v>0</v>
      </c>
      <c r="H116" s="53" t="s">
        <v>2</v>
      </c>
      <c r="I116" s="53" t="s">
        <v>8</v>
      </c>
      <c r="J116" s="52" t="s">
        <v>9</v>
      </c>
    </row>
    <row r="117" spans="1:10" s="7" customFormat="1" ht="17.25" customHeight="1" x14ac:dyDescent="0.2">
      <c r="A117" s="106" t="str">
        <f>IF(C38="Deutsch","Ferngesteuerter Scheinwerfer",IF(C38="English","Remote-controlled spotlight",IF(C38="Italiano","Faretto telecomandato","")))</f>
        <v>Ferngesteuerter Scheinwerfer</v>
      </c>
      <c r="B117" s="75"/>
      <c r="C117" s="61"/>
      <c r="D117" s="105" t="str">
        <f t="shared" si="6"/>
        <v>auf Anfrage</v>
      </c>
      <c r="E117" s="37"/>
      <c r="F117" s="24">
        <f t="shared" si="5"/>
        <v>0</v>
      </c>
      <c r="G117" s="21" t="b">
        <v>0</v>
      </c>
      <c r="H117" s="53" t="s">
        <v>2</v>
      </c>
      <c r="I117" s="53" t="s">
        <v>8</v>
      </c>
      <c r="J117" s="52" t="s">
        <v>9</v>
      </c>
    </row>
    <row r="118" spans="1:10" s="7" customFormat="1" ht="17.25" customHeight="1" x14ac:dyDescent="0.2">
      <c r="A118" s="106" t="str">
        <f>IF(C38="Deutsch","VHF (AIS)-Funkgerät",IF(C38="English","VHF (AIS) radio",IF(C38="Italiano","Radio VHF (AIS)","")))</f>
        <v>VHF (AIS)-Funkgerät</v>
      </c>
      <c r="B118" s="75"/>
      <c r="C118" s="61"/>
      <c r="D118" s="105" t="str">
        <f t="shared" si="6"/>
        <v>auf Anfrage</v>
      </c>
      <c r="E118" s="37"/>
      <c r="F118" s="24">
        <f t="shared" si="5"/>
        <v>0</v>
      </c>
      <c r="G118" s="21" t="b">
        <v>0</v>
      </c>
      <c r="H118" s="53" t="s">
        <v>2</v>
      </c>
      <c r="I118" s="53" t="s">
        <v>8</v>
      </c>
      <c r="J118" s="52" t="s">
        <v>9</v>
      </c>
    </row>
    <row r="119" spans="1:10" s="7" customFormat="1" ht="17.25" customHeight="1" x14ac:dyDescent="0.2">
      <c r="A119" s="106" t="str">
        <f>IF(C38="Deutsch","XM-Radio und Wetter",IF(C38="English","XM Radio and Weather",IF(C38="Italiano","Radio XM e meteo","")))</f>
        <v>XM-Radio und Wetter</v>
      </c>
      <c r="B119" s="75"/>
      <c r="C119" s="61"/>
      <c r="D119" s="105" t="str">
        <f t="shared" si="6"/>
        <v>auf Anfrage</v>
      </c>
      <c r="E119" s="37"/>
      <c r="F119" s="24">
        <f t="shared" si="5"/>
        <v>0</v>
      </c>
      <c r="G119" s="21" t="b">
        <v>0</v>
      </c>
      <c r="H119" s="53" t="s">
        <v>2</v>
      </c>
      <c r="I119" s="53" t="s">
        <v>8</v>
      </c>
      <c r="J119" s="52" t="s">
        <v>9</v>
      </c>
    </row>
    <row r="120" spans="1:10" s="7" customFormat="1" ht="17.25" customHeight="1" x14ac:dyDescent="0.2">
      <c r="A120" s="114" t="str">
        <f>IF(C38="Deutsch","Optionen für Angler:",IF(C38="English","Options for anglers:",IF(C38="Italiano","Opzioni per i pescatori:","")))</f>
        <v>Optionen für Angler:</v>
      </c>
      <c r="B120" s="75"/>
      <c r="C120" s="61"/>
      <c r="D120" s="105"/>
      <c r="E120" s="37"/>
      <c r="F120" s="24">
        <f t="shared" si="5"/>
        <v>0</v>
      </c>
      <c r="G120" s="21" t="b">
        <v>0</v>
      </c>
      <c r="H120" s="53"/>
      <c r="I120" s="53"/>
      <c r="J120" s="52" t="s">
        <v>9</v>
      </c>
    </row>
    <row r="121" spans="1:10" s="7" customFormat="1" ht="17.25" customHeight="1" x14ac:dyDescent="0.2">
      <c r="A121" s="106" t="str">
        <f>IF(C38="Deutsch","Elektrische Rollenausgänge – Paar",IF(C38="English","Electrical roller outputs – pair",IF(C38="Italiano","Uscite elettriche a rulli – Coppia","")))</f>
        <v>Elektrische Rollenausgänge – Paar</v>
      </c>
      <c r="B121" s="75"/>
      <c r="C121" s="61"/>
      <c r="D121" s="105" t="str">
        <f>IF($C$38="Deutsch",H121,IF($C$38="English",I121,IF($C$38="Italiano",J121,"")))</f>
        <v>auf Anfrage</v>
      </c>
      <c r="E121" s="37"/>
      <c r="F121" s="24">
        <f t="shared" si="5"/>
        <v>0</v>
      </c>
      <c r="G121" s="21" t="b">
        <v>0</v>
      </c>
      <c r="H121" s="53" t="s">
        <v>2</v>
      </c>
      <c r="I121" s="53" t="s">
        <v>8</v>
      </c>
      <c r="J121" s="52" t="s">
        <v>9</v>
      </c>
    </row>
    <row r="122" spans="1:10" s="7" customFormat="1" ht="17.25" customHeight="1" x14ac:dyDescent="0.2">
      <c r="A122" s="106" t="str">
        <f>IF(C38="Deutsch","Angelpaket – Heckbestuhlung",IF(C38="English","Fishing package – Rear seating",IF(C38="Italiano","Pacchetto pesca – Sedili posteriori","")))</f>
        <v>Angelpaket – Heckbestuhlung</v>
      </c>
      <c r="B122" s="75"/>
      <c r="C122" s="61"/>
      <c r="D122" s="105" t="str">
        <f t="shared" ref="D122:D128" si="7">IF($C$38="Deutsch",H122,IF($C$38="English",I122,IF($C$38="Italiano",J122,"")))</f>
        <v>auf Anfrage</v>
      </c>
      <c r="E122" s="37"/>
      <c r="F122" s="24">
        <f t="shared" si="5"/>
        <v>0</v>
      </c>
      <c r="G122" s="21" t="b">
        <v>0</v>
      </c>
      <c r="H122" s="53" t="s">
        <v>2</v>
      </c>
      <c r="I122" s="53" t="s">
        <v>8</v>
      </c>
      <c r="J122" s="52" t="s">
        <v>9</v>
      </c>
    </row>
    <row r="123" spans="1:10" s="7" customFormat="1" ht="17.25" customHeight="1" x14ac:dyDescent="0.2">
      <c r="A123" s="106" t="str">
        <f>IF(C38="Deutsch","Fischkasten",IF(C38="English","Fish box",IF(C38="Italiano","cassa per il pesce","")))</f>
        <v>Fischkasten</v>
      </c>
      <c r="B123" s="75"/>
      <c r="C123" s="61"/>
      <c r="D123" s="105" t="str">
        <f t="shared" si="7"/>
        <v>auf Anfrage</v>
      </c>
      <c r="E123" s="37"/>
      <c r="F123" s="24">
        <f t="shared" si="5"/>
        <v>0</v>
      </c>
      <c r="G123" s="21" t="b">
        <v>0</v>
      </c>
      <c r="H123" s="53" t="s">
        <v>2</v>
      </c>
      <c r="I123" s="53" t="s">
        <v>8</v>
      </c>
      <c r="J123" s="52" t="s">
        <v>9</v>
      </c>
    </row>
    <row r="124" spans="1:10" s="7" customFormat="1" ht="17.25" customHeight="1" x14ac:dyDescent="0.2">
      <c r="A124" s="106" t="str">
        <f>IF(C38="Deutsch","Seewasser-Waschvorrichtung",IF(C38="English","Seawater washing device",IF(C38="Italiano","Dispositivo di lavaggio con acqua di mare","")))</f>
        <v>Seewasser-Waschvorrichtung</v>
      </c>
      <c r="B124" s="75"/>
      <c r="C124" s="61"/>
      <c r="D124" s="105" t="str">
        <f t="shared" si="7"/>
        <v>auf Anfrage</v>
      </c>
      <c r="E124" s="37"/>
      <c r="F124" s="24">
        <f t="shared" si="5"/>
        <v>0</v>
      </c>
      <c r="G124" s="21" t="b">
        <v>0</v>
      </c>
      <c r="H124" s="53" t="s">
        <v>2</v>
      </c>
      <c r="I124" s="53" t="s">
        <v>8</v>
      </c>
      <c r="J124" s="52" t="s">
        <v>9</v>
      </c>
    </row>
    <row r="125" spans="1:10" s="7" customFormat="1" ht="17.25" customHeight="1" x14ac:dyDescent="0.2">
      <c r="A125" s="106" t="str">
        <f>IF(C38="Deutsch","Fischkasten-Entleerung",IF(C38="English","Fish box emptying",IF(C38="Italiano","Svuotamento della vasca dei pesci","")))</f>
        <v>Fischkasten-Entleerung</v>
      </c>
      <c r="B125" s="75"/>
      <c r="C125" s="61"/>
      <c r="D125" s="105" t="str">
        <f t="shared" si="7"/>
        <v>auf Anfrage</v>
      </c>
      <c r="E125" s="37"/>
      <c r="F125" s="24">
        <f t="shared" si="5"/>
        <v>0</v>
      </c>
      <c r="G125" s="21" t="b">
        <v>0</v>
      </c>
      <c r="H125" s="53" t="s">
        <v>2</v>
      </c>
      <c r="I125" s="53" t="s">
        <v>8</v>
      </c>
      <c r="J125" s="52" t="s">
        <v>9</v>
      </c>
    </row>
    <row r="126" spans="1:10" s="7" customFormat="1" ht="17.25" customHeight="1" x14ac:dyDescent="0.2">
      <c r="A126" s="106" t="str">
        <f>IF(C38="Deutsch","Süßwasser-Waschvorrichtung",IF(C38="English","Freshwater washing device",IF(C38="Italiano","Dispositivo di lavaggio ad acqua dolce","")))</f>
        <v>Süßwasser-Waschvorrichtung</v>
      </c>
      <c r="B126" s="75"/>
      <c r="C126" s="61"/>
      <c r="D126" s="105" t="str">
        <f t="shared" si="7"/>
        <v>auf Anfrage</v>
      </c>
      <c r="E126" s="37"/>
      <c r="F126" s="24">
        <f t="shared" si="5"/>
        <v>0</v>
      </c>
      <c r="G126" s="21" t="b">
        <v>0</v>
      </c>
      <c r="H126" s="53" t="s">
        <v>2</v>
      </c>
      <c r="I126" s="53" t="s">
        <v>8</v>
      </c>
      <c r="J126" s="52" t="s">
        <v>9</v>
      </c>
    </row>
    <row r="127" spans="1:10" s="7" customFormat="1" ht="17.25" customHeight="1" x14ac:dyDescent="0.2">
      <c r="A127" s="106" t="str">
        <f>IF(C38="Deutsch","Seewasser-Waschvorrichtung ",IF(C38="English","Seawater washing device ",IF(C38="Italiano","Dispositivo di lavaggio con acqua di mare ","")))</f>
        <v xml:space="preserve">Seewasser-Waschvorrichtung </v>
      </c>
      <c r="B127" s="75"/>
      <c r="C127" s="61"/>
      <c r="D127" s="105" t="str">
        <f t="shared" si="7"/>
        <v>auf Anfrage</v>
      </c>
      <c r="E127" s="37"/>
      <c r="F127" s="24">
        <f t="shared" si="5"/>
        <v>0</v>
      </c>
      <c r="G127" s="21" t="b">
        <v>0</v>
      </c>
      <c r="H127" s="53" t="s">
        <v>2</v>
      </c>
      <c r="I127" s="53" t="s">
        <v>8</v>
      </c>
      <c r="J127" s="52" t="s">
        <v>9</v>
      </c>
    </row>
    <row r="128" spans="1:10" s="7" customFormat="1" ht="17.25" customHeight="1" x14ac:dyDescent="0.2">
      <c r="A128" s="106" t="str">
        <f>IF(C38="Deutsch","Rutenhalter ",IF(C38="English","Rod holder ",IF(C38="Italiano","portacanne ","")))</f>
        <v xml:space="preserve">Rutenhalter </v>
      </c>
      <c r="B128" s="75"/>
      <c r="C128" s="61"/>
      <c r="D128" s="105" t="str">
        <f t="shared" si="7"/>
        <v>auf Anfrage</v>
      </c>
      <c r="E128" s="37"/>
      <c r="F128" s="24">
        <f t="shared" si="5"/>
        <v>0</v>
      </c>
      <c r="G128" s="21" t="b">
        <v>0</v>
      </c>
      <c r="H128" s="53" t="s">
        <v>2</v>
      </c>
      <c r="I128" s="53" t="s">
        <v>8</v>
      </c>
      <c r="J128" s="52" t="s">
        <v>9</v>
      </c>
    </row>
    <row r="129" spans="1:12" s="7" customFormat="1" ht="17.25" customHeight="1" x14ac:dyDescent="0.2">
      <c r="A129" s="115"/>
      <c r="B129" s="75"/>
      <c r="C129" s="116"/>
      <c r="D129" s="117"/>
      <c r="E129" s="37"/>
      <c r="F129" s="36"/>
      <c r="G129" s="21"/>
      <c r="I129" s="15"/>
    </row>
    <row r="130" spans="1:12" s="7" customFormat="1" ht="17.25" customHeight="1" x14ac:dyDescent="0.2">
      <c r="A130" s="118" t="str">
        <f>IF(C38="Deutsch","weitere Optionen auf Anfrage ",IF(C38="English","Further options available on request ",IF(C38="Italiano","Altre opzioni su richiesta ","")))</f>
        <v xml:space="preserve">weitere Optionen auf Anfrage </v>
      </c>
      <c r="B130" s="75"/>
      <c r="C130" s="116"/>
      <c r="D130" s="117"/>
      <c r="E130" s="37"/>
      <c r="F130" s="36"/>
      <c r="G130" s="21"/>
      <c r="I130" s="15"/>
    </row>
    <row r="131" spans="1:12" s="7" customFormat="1" ht="17.25" customHeight="1" x14ac:dyDescent="0.2">
      <c r="A131" s="75"/>
      <c r="B131" s="75"/>
      <c r="C131" s="116"/>
      <c r="D131" s="117"/>
      <c r="E131" s="37"/>
      <c r="F131" s="36"/>
      <c r="G131" s="21"/>
      <c r="I131" s="15"/>
    </row>
    <row r="132" spans="1:12" s="7" customFormat="1" ht="28.5" customHeight="1" thickBot="1" x14ac:dyDescent="0.25">
      <c r="A132" s="119" t="str">
        <f>IF(C38="Deutsch","  Verkaufspreis inkl. 19% Mwst ab Lager Hilzingen ",IF(C38="English","  Selling price exl. 19% VAT ex warehouse Hilzingen",IF(C38="Italiano","  Selling price plus VAT ex warehouse Hilzingen ","")))</f>
        <v xml:space="preserve">  Verkaufspreis inkl. 19% Mwst ab Lager Hilzingen </v>
      </c>
      <c r="B132" s="120"/>
      <c r="C132" s="120"/>
      <c r="D132" s="121"/>
      <c r="E132" s="22"/>
      <c r="F132" s="45">
        <f>SUM(F77:F81,F87:F131)</f>
        <v>0</v>
      </c>
      <c r="G132" s="23"/>
      <c r="H132" s="8"/>
      <c r="J132" s="25"/>
      <c r="K132" s="26"/>
      <c r="L132" s="27"/>
    </row>
    <row r="133" spans="1:12" s="7" customFormat="1" ht="2.25" customHeight="1" x14ac:dyDescent="0.2">
      <c r="A133" s="38"/>
      <c r="B133" s="39"/>
      <c r="C133" s="40"/>
      <c r="D133" s="41"/>
      <c r="E133" s="41"/>
      <c r="F133" s="42"/>
      <c r="J133" s="25"/>
      <c r="K133" s="26"/>
      <c r="L133" s="27"/>
    </row>
    <row r="134" spans="1:12" s="7" customFormat="1" ht="12.4" customHeight="1" x14ac:dyDescent="0.2">
      <c r="A134" s="43" t="s">
        <v>1</v>
      </c>
      <c r="B134" s="40"/>
      <c r="C134" s="44"/>
      <c r="D134" s="40"/>
      <c r="E134" s="40"/>
      <c r="F134" s="40"/>
      <c r="J134" s="25"/>
      <c r="K134" s="26"/>
      <c r="L134" s="27"/>
    </row>
    <row r="135" spans="1:12" s="7" customFormat="1" ht="12.4" customHeight="1" x14ac:dyDescent="0.2">
      <c r="A135" s="43" t="s">
        <v>10</v>
      </c>
      <c r="B135" s="40"/>
      <c r="C135" s="44"/>
      <c r="D135" s="40"/>
      <c r="E135" s="40"/>
      <c r="F135" s="40"/>
      <c r="J135" s="25"/>
      <c r="K135" s="26"/>
      <c r="L135" s="27"/>
    </row>
    <row r="136" spans="1:12" s="7" customFormat="1" ht="12.4" customHeight="1" x14ac:dyDescent="0.2">
      <c r="A136" s="43" t="s">
        <v>11</v>
      </c>
      <c r="B136" s="40"/>
      <c r="C136" s="44"/>
      <c r="D136" s="40"/>
      <c r="E136" s="40"/>
      <c r="F136" s="40"/>
      <c r="J136" s="25"/>
      <c r="K136" s="26"/>
      <c r="L136" s="27"/>
    </row>
    <row r="137" spans="1:12" s="7" customFormat="1" ht="12.4" customHeight="1" x14ac:dyDescent="0.2">
      <c r="A137" s="59" t="s">
        <v>12</v>
      </c>
      <c r="B137" s="44"/>
      <c r="C137" s="44"/>
      <c r="D137" s="44"/>
      <c r="E137" s="44"/>
      <c r="F137" s="44"/>
      <c r="J137" s="28"/>
      <c r="K137" s="26"/>
      <c r="L137" s="29"/>
    </row>
    <row r="138" spans="1:12" s="7" customFormat="1" ht="12.75" customHeight="1" x14ac:dyDescent="0.2">
      <c r="A138" s="124" t="s">
        <v>0</v>
      </c>
      <c r="B138" s="124"/>
      <c r="C138" s="124"/>
      <c r="D138" s="124"/>
      <c r="E138" s="124"/>
      <c r="F138" s="124"/>
      <c r="G138" s="30"/>
      <c r="H138" s="8"/>
      <c r="J138" s="25"/>
      <c r="K138" s="31"/>
      <c r="L138" s="27"/>
    </row>
    <row r="139" spans="1:12" s="15" customFormat="1" ht="10.5" customHeight="1" x14ac:dyDescent="0.15"/>
    <row r="140" spans="1:12" s="15" customFormat="1" ht="10.5" customHeight="1" x14ac:dyDescent="0.2">
      <c r="C140" s="14"/>
    </row>
  </sheetData>
  <sheetProtection algorithmName="SHA-512" hashValue="IiOeGerN00immUCkEmA8hibKWFPrAqH5gOxeSABQ6oYYXarIjVv6LnJ7BbwR8HI033wtdBTYoi2KI9eiih1IkA==" saltValue="7JckpEg9Ht9q/UjegZdQ+A==" spinCount="100000" sheet="1" objects="1" scenarios="1"/>
  <mergeCells count="8">
    <mergeCell ref="A83:D83"/>
    <mergeCell ref="A138:F138"/>
    <mergeCell ref="A75:D75"/>
    <mergeCell ref="A31:D31"/>
    <mergeCell ref="A44:B44"/>
    <mergeCell ref="A37:F37"/>
    <mergeCell ref="A40:D40"/>
    <mergeCell ref="A53:F53"/>
  </mergeCells>
  <dataValidations count="1">
    <dataValidation type="list" allowBlank="1" showInputMessage="1" showErrorMessage="1" sqref="C38" xr:uid="{B7CEEB8C-E436-464A-BBDC-C6219F6AB198}">
      <formula1>"Deutsch,English,Italiano"</formula1>
    </dataValidation>
  </dataValidations>
  <pageMargins left="0.70866141732283472" right="0.70866141732283472" top="0.78740157480314965" bottom="0.78740157480314965" header="0.31496062992125984" footer="0.31496062992125984"/>
  <pageSetup paperSize="9" scale="95" fitToHeight="0" orientation="landscape" r:id="rId1"/>
  <rowBreaks count="3" manualBreakCount="3">
    <brk id="33" max="5" man="1"/>
    <brk id="74" max="5" man="1"/>
    <brk id="8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5">
              <controlPr defaultSize="0" autoFill="0" autoLine="0" autoPict="0">
                <anchor moveWithCells="1">
                  <from>
                    <xdr:col>4</xdr:col>
                    <xdr:colOff>285750</xdr:colOff>
                    <xdr:row>86</xdr:row>
                    <xdr:rowOff>19050</xdr:rowOff>
                  </from>
                  <to>
                    <xdr:col>4</xdr:col>
                    <xdr:colOff>600075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10">
              <controlPr defaultSize="0" autoFill="0" autoLine="0" autoPict="0">
                <anchor moveWithCells="1">
                  <from>
                    <xdr:col>4</xdr:col>
                    <xdr:colOff>285750</xdr:colOff>
                    <xdr:row>87</xdr:row>
                    <xdr:rowOff>9525</xdr:rowOff>
                  </from>
                  <to>
                    <xdr:col>4</xdr:col>
                    <xdr:colOff>657225</xdr:colOff>
                    <xdr:row>88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89</xdr:row>
                    <xdr:rowOff>28575</xdr:rowOff>
                  </from>
                  <to>
                    <xdr:col>4</xdr:col>
                    <xdr:colOff>647700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13">
              <controlPr defaultSize="0" autoFill="0" autoLine="0" autoPict="0">
                <anchor moveWithCells="1">
                  <from>
                    <xdr:col>4</xdr:col>
                    <xdr:colOff>285750</xdr:colOff>
                    <xdr:row>93</xdr:row>
                    <xdr:rowOff>28575</xdr:rowOff>
                  </from>
                  <to>
                    <xdr:col>4</xdr:col>
                    <xdr:colOff>647700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102</xdr:row>
                    <xdr:rowOff>28575</xdr:rowOff>
                  </from>
                  <to>
                    <xdr:col>4</xdr:col>
                    <xdr:colOff>666750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95</xdr:row>
                    <xdr:rowOff>28575</xdr:rowOff>
                  </from>
                  <to>
                    <xdr:col>4</xdr:col>
                    <xdr:colOff>647700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92">
              <controlPr defaultSize="0" autoFill="0" autoLine="0" autoPict="0">
                <anchor moveWithCells="1">
                  <from>
                    <xdr:col>4</xdr:col>
                    <xdr:colOff>285750</xdr:colOff>
                    <xdr:row>88</xdr:row>
                    <xdr:rowOff>28575</xdr:rowOff>
                  </from>
                  <to>
                    <xdr:col>4</xdr:col>
                    <xdr:colOff>647700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93">
              <controlPr defaultSize="0" autoFill="0" autoLine="0" autoPict="0">
                <anchor moveWithCells="1">
                  <from>
                    <xdr:col>4</xdr:col>
                    <xdr:colOff>285750</xdr:colOff>
                    <xdr:row>94</xdr:row>
                    <xdr:rowOff>28575</xdr:rowOff>
                  </from>
                  <to>
                    <xdr:col>4</xdr:col>
                    <xdr:colOff>647700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4</xdr:col>
                    <xdr:colOff>285750</xdr:colOff>
                    <xdr:row>103</xdr:row>
                    <xdr:rowOff>9525</xdr:rowOff>
                  </from>
                  <to>
                    <xdr:col>4</xdr:col>
                    <xdr:colOff>647700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4</xdr:col>
                    <xdr:colOff>285750</xdr:colOff>
                    <xdr:row>92</xdr:row>
                    <xdr:rowOff>28575</xdr:rowOff>
                  </from>
                  <to>
                    <xdr:col>4</xdr:col>
                    <xdr:colOff>647700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4</xdr:col>
                    <xdr:colOff>285750</xdr:colOff>
                    <xdr:row>104</xdr:row>
                    <xdr:rowOff>19050</xdr:rowOff>
                  </from>
                  <to>
                    <xdr:col>4</xdr:col>
                    <xdr:colOff>647700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4</xdr:col>
                    <xdr:colOff>285750</xdr:colOff>
                    <xdr:row>106</xdr:row>
                    <xdr:rowOff>9525</xdr:rowOff>
                  </from>
                  <to>
                    <xdr:col>4</xdr:col>
                    <xdr:colOff>647700</xdr:colOff>
                    <xdr:row>107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9" name="Check Box 35">
              <controlPr defaultSize="0" autoFill="0" autoLine="0" autoPict="0">
                <anchor moveWithCells="1">
                  <from>
                    <xdr:col>4</xdr:col>
                    <xdr:colOff>285750</xdr:colOff>
                    <xdr:row>105</xdr:row>
                    <xdr:rowOff>19050</xdr:rowOff>
                  </from>
                  <to>
                    <xdr:col>4</xdr:col>
                    <xdr:colOff>647700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0" name="Check Box 36">
              <controlPr defaultSize="0" autoFill="0" autoLine="0" autoPict="0">
                <anchor moveWithCells="1">
                  <from>
                    <xdr:col>4</xdr:col>
                    <xdr:colOff>285750</xdr:colOff>
                    <xdr:row>107</xdr:row>
                    <xdr:rowOff>9525</xdr:rowOff>
                  </from>
                  <to>
                    <xdr:col>4</xdr:col>
                    <xdr:colOff>647700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1" name="Check Box 37">
              <controlPr defaultSize="0" autoFill="0" autoLine="0" autoPict="0">
                <anchor moveWithCells="1">
                  <from>
                    <xdr:col>4</xdr:col>
                    <xdr:colOff>285750</xdr:colOff>
                    <xdr:row>108</xdr:row>
                    <xdr:rowOff>9525</xdr:rowOff>
                  </from>
                  <to>
                    <xdr:col>4</xdr:col>
                    <xdr:colOff>647700</xdr:colOff>
                    <xdr:row>109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22" name="Check Box 98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77</xdr:row>
                    <xdr:rowOff>19050</xdr:rowOff>
                  </from>
                  <to>
                    <xdr:col>4</xdr:col>
                    <xdr:colOff>600075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3" name="Check Box 106">
              <controlPr defaultSize="0" autoFill="0" autoLine="0" autoPict="0">
                <anchor moveWithCells="1">
                  <from>
                    <xdr:col>4</xdr:col>
                    <xdr:colOff>285750</xdr:colOff>
                    <xdr:row>109</xdr:row>
                    <xdr:rowOff>9525</xdr:rowOff>
                  </from>
                  <to>
                    <xdr:col>4</xdr:col>
                    <xdr:colOff>647700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4" name="Check Box 107">
              <controlPr defaultSize="0" autoFill="0" autoLine="0" autoPict="0">
                <anchor moveWithCells="1">
                  <from>
                    <xdr:col>4</xdr:col>
                    <xdr:colOff>285750</xdr:colOff>
                    <xdr:row>110</xdr:row>
                    <xdr:rowOff>9525</xdr:rowOff>
                  </from>
                  <to>
                    <xdr:col>4</xdr:col>
                    <xdr:colOff>647700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5" name="Check Box 108">
              <controlPr defaultSize="0" autoFill="0" autoLine="0" autoPict="0">
                <anchor moveWithCells="1">
                  <from>
                    <xdr:col>4</xdr:col>
                    <xdr:colOff>285750</xdr:colOff>
                    <xdr:row>111</xdr:row>
                    <xdr:rowOff>9525</xdr:rowOff>
                  </from>
                  <to>
                    <xdr:col>4</xdr:col>
                    <xdr:colOff>647700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6" name="Check Box 109">
              <controlPr defaultSize="0" autoFill="0" autoLine="0" autoPict="0">
                <anchor moveWithCells="1">
                  <from>
                    <xdr:col>4</xdr:col>
                    <xdr:colOff>285750</xdr:colOff>
                    <xdr:row>112</xdr:row>
                    <xdr:rowOff>19050</xdr:rowOff>
                  </from>
                  <to>
                    <xdr:col>4</xdr:col>
                    <xdr:colOff>647700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7" name="Check Box 111">
              <controlPr defaultSize="0" autoFill="0" autoLine="0" autoPict="0">
                <anchor moveWithCells="1">
                  <from>
                    <xdr:col>4</xdr:col>
                    <xdr:colOff>285750</xdr:colOff>
                    <xdr:row>113</xdr:row>
                    <xdr:rowOff>9525</xdr:rowOff>
                  </from>
                  <to>
                    <xdr:col>4</xdr:col>
                    <xdr:colOff>647700</xdr:colOff>
                    <xdr:row>114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8" name="Check Box 112">
              <controlPr defaultSize="0" autoFill="0" autoLine="0" autoPict="0">
                <anchor moveWithCells="1">
                  <from>
                    <xdr:col>4</xdr:col>
                    <xdr:colOff>285750</xdr:colOff>
                    <xdr:row>114</xdr:row>
                    <xdr:rowOff>9525</xdr:rowOff>
                  </from>
                  <to>
                    <xdr:col>4</xdr:col>
                    <xdr:colOff>647700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9" name="Check Box 113">
              <controlPr defaultSize="0" autoFill="0" autoLine="0" autoPict="0">
                <anchor moveWithCells="1">
                  <from>
                    <xdr:col>4</xdr:col>
                    <xdr:colOff>285750</xdr:colOff>
                    <xdr:row>115</xdr:row>
                    <xdr:rowOff>9525</xdr:rowOff>
                  </from>
                  <to>
                    <xdr:col>4</xdr:col>
                    <xdr:colOff>647700</xdr:colOff>
                    <xdr:row>116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0" name="Check Box 114">
              <controlPr defaultSize="0" autoFill="0" autoLine="0" autoPict="0">
                <anchor moveWithCells="1">
                  <from>
                    <xdr:col>4</xdr:col>
                    <xdr:colOff>285750</xdr:colOff>
                    <xdr:row>116</xdr:row>
                    <xdr:rowOff>9525</xdr:rowOff>
                  </from>
                  <to>
                    <xdr:col>4</xdr:col>
                    <xdr:colOff>647700</xdr:colOff>
                    <xdr:row>117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1" name="Check Box 115">
              <controlPr defaultSize="0" autoFill="0" autoLine="0" autoPict="0">
                <anchor moveWithCells="1">
                  <from>
                    <xdr:col>4</xdr:col>
                    <xdr:colOff>285750</xdr:colOff>
                    <xdr:row>117</xdr:row>
                    <xdr:rowOff>9525</xdr:rowOff>
                  </from>
                  <to>
                    <xdr:col>4</xdr:col>
                    <xdr:colOff>647700</xdr:colOff>
                    <xdr:row>118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32" name="Check Box 116">
              <controlPr defaultSize="0" autoFill="0" autoLine="0" autoPict="0">
                <anchor moveWithCells="1">
                  <from>
                    <xdr:col>4</xdr:col>
                    <xdr:colOff>285750</xdr:colOff>
                    <xdr:row>118</xdr:row>
                    <xdr:rowOff>9525</xdr:rowOff>
                  </from>
                  <to>
                    <xdr:col>4</xdr:col>
                    <xdr:colOff>647700</xdr:colOff>
                    <xdr:row>119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3" name="Check Box 118">
              <controlPr defaultSize="0" autoFill="0" autoLine="0" autoPict="0">
                <anchor moveWithCells="1">
                  <from>
                    <xdr:col>4</xdr:col>
                    <xdr:colOff>285750</xdr:colOff>
                    <xdr:row>120</xdr:row>
                    <xdr:rowOff>9525</xdr:rowOff>
                  </from>
                  <to>
                    <xdr:col>4</xdr:col>
                    <xdr:colOff>647700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4" name="Check Box 119">
              <controlPr defaultSize="0" autoFill="0" autoLine="0" autoPict="0">
                <anchor moveWithCells="1">
                  <from>
                    <xdr:col>4</xdr:col>
                    <xdr:colOff>285750</xdr:colOff>
                    <xdr:row>121</xdr:row>
                    <xdr:rowOff>9525</xdr:rowOff>
                  </from>
                  <to>
                    <xdr:col>4</xdr:col>
                    <xdr:colOff>647700</xdr:colOff>
                    <xdr:row>122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5" name="Check Box 120">
              <controlPr defaultSize="0" autoFill="0" autoLine="0" autoPict="0">
                <anchor moveWithCells="1">
                  <from>
                    <xdr:col>4</xdr:col>
                    <xdr:colOff>285750</xdr:colOff>
                    <xdr:row>122</xdr:row>
                    <xdr:rowOff>9525</xdr:rowOff>
                  </from>
                  <to>
                    <xdr:col>4</xdr:col>
                    <xdr:colOff>647700</xdr:colOff>
                    <xdr:row>123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6" name="Check Box 121">
              <controlPr defaultSize="0" autoFill="0" autoLine="0" autoPict="0">
                <anchor moveWithCells="1">
                  <from>
                    <xdr:col>4</xdr:col>
                    <xdr:colOff>285750</xdr:colOff>
                    <xdr:row>123</xdr:row>
                    <xdr:rowOff>9525</xdr:rowOff>
                  </from>
                  <to>
                    <xdr:col>4</xdr:col>
                    <xdr:colOff>647700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7" name="Check Box 122">
              <controlPr defaultSize="0" autoFill="0" autoLine="0" autoPict="0">
                <anchor moveWithCells="1">
                  <from>
                    <xdr:col>4</xdr:col>
                    <xdr:colOff>285750</xdr:colOff>
                    <xdr:row>124</xdr:row>
                    <xdr:rowOff>9525</xdr:rowOff>
                  </from>
                  <to>
                    <xdr:col>4</xdr:col>
                    <xdr:colOff>647700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8" name="Check Box 123">
              <controlPr defaultSize="0" autoFill="0" autoLine="0" autoPict="0">
                <anchor moveWithCells="1">
                  <from>
                    <xdr:col>4</xdr:col>
                    <xdr:colOff>285750</xdr:colOff>
                    <xdr:row>125</xdr:row>
                    <xdr:rowOff>9525</xdr:rowOff>
                  </from>
                  <to>
                    <xdr:col>4</xdr:col>
                    <xdr:colOff>647700</xdr:colOff>
                    <xdr:row>126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9" name="Check Box 124">
              <controlPr defaultSize="0" autoFill="0" autoLine="0" autoPict="0">
                <anchor moveWithCells="1">
                  <from>
                    <xdr:col>4</xdr:col>
                    <xdr:colOff>285750</xdr:colOff>
                    <xdr:row>126</xdr:row>
                    <xdr:rowOff>9525</xdr:rowOff>
                  </from>
                  <to>
                    <xdr:col>4</xdr:col>
                    <xdr:colOff>647700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40" name="Check Box 125">
              <controlPr defaultSize="0" autoFill="0" autoLine="0" autoPict="0">
                <anchor moveWithCells="1">
                  <from>
                    <xdr:col>4</xdr:col>
                    <xdr:colOff>285750</xdr:colOff>
                    <xdr:row>127</xdr:row>
                    <xdr:rowOff>9525</xdr:rowOff>
                  </from>
                  <to>
                    <xdr:col>4</xdr:col>
                    <xdr:colOff>647700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1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90</xdr:row>
                    <xdr:rowOff>28575</xdr:rowOff>
                  </from>
                  <to>
                    <xdr:col>4</xdr:col>
                    <xdr:colOff>647700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2" name="Check Box 11">
              <controlPr defaultSize="0" autoFill="0" autoLine="0" autoPict="0">
                <anchor moveWithCells="1">
                  <from>
                    <xdr:col>4</xdr:col>
                    <xdr:colOff>285750</xdr:colOff>
                    <xdr:row>91</xdr:row>
                    <xdr:rowOff>28575</xdr:rowOff>
                  </from>
                  <to>
                    <xdr:col>4</xdr:col>
                    <xdr:colOff>647700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3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4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96</xdr:row>
                    <xdr:rowOff>28575</xdr:rowOff>
                  </from>
                  <to>
                    <xdr:col>4</xdr:col>
                    <xdr:colOff>647700</xdr:colOff>
                    <xdr:row>97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5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28575</xdr:rowOff>
                  </from>
                  <to>
                    <xdr:col>4</xdr:col>
                    <xdr:colOff>647700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6" name="Check Box 139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28575</xdr:rowOff>
                  </from>
                  <to>
                    <xdr:col>4</xdr:col>
                    <xdr:colOff>647700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47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28575</xdr:rowOff>
                  </from>
                  <to>
                    <xdr:col>4</xdr:col>
                    <xdr:colOff>647700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48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97</xdr:row>
                    <xdr:rowOff>28575</xdr:rowOff>
                  </from>
                  <to>
                    <xdr:col>4</xdr:col>
                    <xdr:colOff>647700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49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0" name="Check Box 143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51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52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53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54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98</xdr:row>
                    <xdr:rowOff>28575</xdr:rowOff>
                  </from>
                  <to>
                    <xdr:col>4</xdr:col>
                    <xdr:colOff>647700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5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6" name="Check Box 149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7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8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9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60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99</xdr:row>
                    <xdr:rowOff>28575</xdr:rowOff>
                  </from>
                  <to>
                    <xdr:col>4</xdr:col>
                    <xdr:colOff>647700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61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62" name="Check Box 155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63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4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65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66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100</xdr:row>
                    <xdr:rowOff>28575</xdr:rowOff>
                  </from>
                  <to>
                    <xdr:col>4</xdr:col>
                    <xdr:colOff>647700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7" name="Check Box 87">
              <controlPr locked="0"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647700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8" name="Check Box 161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647700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69" name="Check Box 15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647700</xdr:colOff>
                    <xdr:row>102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70" name="Check Box 86">
              <controlPr defaultSize="0" autoFill="0" autoLine="0" autoPict="0">
                <anchor moveWithCells="1">
                  <from>
                    <xdr:col>4</xdr:col>
                    <xdr:colOff>285750</xdr:colOff>
                    <xdr:row>101</xdr:row>
                    <xdr:rowOff>28575</xdr:rowOff>
                  </from>
                  <to>
                    <xdr:col>4</xdr:col>
                    <xdr:colOff>647700</xdr:colOff>
                    <xdr:row>102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Yvonne Kossik</cp:lastModifiedBy>
  <cp:lastPrinted>2026-02-02T14:15:16Z</cp:lastPrinted>
  <dcterms:created xsi:type="dcterms:W3CDTF">2020-02-12T09:19:34Z</dcterms:created>
  <dcterms:modified xsi:type="dcterms:W3CDTF">2026-02-03T14:52:37Z</dcterms:modified>
</cp:coreProperties>
</file>